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157" documentId="8_{FC373F96-C332-446C-A254-E69D9707A27B}" xr6:coauthVersionLast="46" xr6:coauthVersionMax="46" xr10:uidLastSave="{DA56E737-2138-4FC6-B1B8-39CC7C76CE60}"/>
  <bookViews>
    <workbookView xWindow="-108" yWindow="-108" windowWidth="23256" windowHeight="12576" activeTab="1" xr2:uid="{00000000-000D-0000-FFFF-FFFF00000000}"/>
  </bookViews>
  <sheets>
    <sheet name="Blad2" sheetId="2" r:id="rId1"/>
    <sheet name="Blad1" sheetId="1" r:id="rId2"/>
  </sheets>
  <definedNames>
    <definedName name="A">Blad1!$I$75:$K$141</definedName>
    <definedName name="_xlnm.Print_Area" localSheetId="1">Blad1!$A$1:$T$204</definedName>
    <definedName name="B">Blad1!$B$146:$G$148</definedName>
    <definedName name="Matrix">Blad1!$B$75:$E$141</definedName>
    <definedName name="Z_2167E7E4_0462_4EF0_8CAB_C0251CE19681_.wvu.Cols" localSheetId="1" hidden="1">Blad1!$F:$M</definedName>
    <definedName name="Z_2167E7E4_0462_4EF0_8CAB_C0251CE19681_.wvu.Rows" localSheetId="1" hidden="1">Blad1!$48:$128,Blad1!$133:$138,Blad1!$140:$144,Blad1!$146:$150,Blad1!$152:$156,Blad1!$158:$162</definedName>
  </definedNames>
  <calcPr calcId="191028"/>
  <customWorkbookViews>
    <customWorkbookView name="wit" guid="{2167E7E4-0462-4EF0-8CAB-C0251CE19681}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5" i="1" l="1"/>
  <c r="O9" i="1" s="1"/>
  <c r="W34" i="1"/>
  <c r="S12" i="1" s="1"/>
  <c r="W33" i="1"/>
  <c r="Q12" i="1" s="1"/>
  <c r="W32" i="1"/>
  <c r="M12" i="1" s="1"/>
  <c r="W31" i="1"/>
  <c r="C12" i="1" s="1"/>
  <c r="W126" i="1"/>
  <c r="S18" i="1" s="1"/>
  <c r="W125" i="1"/>
  <c r="Q18" i="1" s="1"/>
  <c r="W124" i="1"/>
  <c r="M18" i="1" s="1"/>
  <c r="W123" i="1"/>
  <c r="C18" i="1" s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G142" i="1" l="1"/>
  <c r="G141" i="1"/>
  <c r="G140" i="1"/>
  <c r="G136" i="1"/>
  <c r="G135" i="1"/>
  <c r="G134" i="1"/>
  <c r="D64" i="1"/>
  <c r="D63" i="1"/>
  <c r="D57" i="1"/>
  <c r="D66" i="1"/>
  <c r="D65" i="1"/>
  <c r="B52" i="1"/>
  <c r="D52" i="1" s="1"/>
  <c r="B49" i="1"/>
  <c r="D49" i="1" s="1"/>
  <c r="D56" i="1"/>
  <c r="D60" i="1"/>
  <c r="D74" i="1" s="1"/>
  <c r="D61" i="1"/>
  <c r="D58" i="1"/>
  <c r="D62" i="1"/>
  <c r="D80" i="1" s="1"/>
  <c r="D59" i="1"/>
  <c r="B51" i="1"/>
  <c r="E51" i="1" s="1"/>
  <c r="B50" i="1"/>
  <c r="D50" i="1" s="1"/>
  <c r="G137" i="1" l="1"/>
  <c r="G138" i="1" s="1"/>
  <c r="G143" i="1"/>
  <c r="G144" i="1" s="1"/>
  <c r="D82" i="1"/>
  <c r="D69" i="1"/>
  <c r="D70" i="1" s="1"/>
  <c r="D68" i="1"/>
  <c r="D79" i="1"/>
  <c r="D86" i="1"/>
  <c r="D73" i="1"/>
  <c r="E52" i="1"/>
  <c r="F52" i="1" s="1"/>
  <c r="D81" i="1"/>
  <c r="D96" i="1" s="1"/>
  <c r="D78" i="1"/>
  <c r="D77" i="1"/>
  <c r="D94" i="1" s="1"/>
  <c r="D67" i="1"/>
  <c r="D87" i="1" s="1"/>
  <c r="D88" i="1" s="1"/>
  <c r="D84" i="1"/>
  <c r="D76" i="1"/>
  <c r="D71" i="1"/>
  <c r="D95" i="1" s="1"/>
  <c r="D83" i="1"/>
  <c r="D75" i="1"/>
  <c r="D72" i="1"/>
  <c r="D51" i="1"/>
  <c r="F51" i="1" s="1"/>
  <c r="E49" i="1"/>
  <c r="F49" i="1" s="1"/>
  <c r="E50" i="1"/>
  <c r="F50" i="1" s="1"/>
  <c r="D85" i="1"/>
  <c r="D104" i="1" l="1"/>
  <c r="D120" i="1"/>
  <c r="P142" i="1" s="1"/>
  <c r="D91" i="1"/>
  <c r="D92" i="1"/>
  <c r="D115" i="1" s="1"/>
  <c r="D89" i="1"/>
  <c r="D90" i="1" s="1"/>
  <c r="D113" i="1" s="1"/>
  <c r="D107" i="1"/>
  <c r="D108" i="1"/>
  <c r="D101" i="1"/>
  <c r="D109" i="1"/>
  <c r="D105" i="1"/>
  <c r="D110" i="1"/>
  <c r="D100" i="1"/>
  <c r="D102" i="1"/>
  <c r="D103" i="1" s="1"/>
  <c r="D106" i="1"/>
  <c r="D93" i="1"/>
  <c r="D111" i="1" s="1"/>
  <c r="D119" i="1"/>
  <c r="D118" i="1"/>
  <c r="P146" i="1" s="1"/>
  <c r="G146" i="1" l="1"/>
  <c r="U146" i="1"/>
  <c r="P141" i="1"/>
  <c r="P154" i="1"/>
  <c r="P136" i="1"/>
  <c r="P148" i="1"/>
  <c r="P160" i="1"/>
  <c r="D112" i="1"/>
  <c r="D98" i="1"/>
  <c r="D114" i="1"/>
  <c r="D116" i="1"/>
  <c r="P135" i="1"/>
  <c r="P140" i="1"/>
  <c r="P152" i="1"/>
  <c r="P158" i="1"/>
  <c r="P134" i="1"/>
  <c r="P153" i="1"/>
  <c r="P147" i="1"/>
  <c r="P159" i="1"/>
  <c r="G158" i="1" l="1"/>
  <c r="U158" i="1"/>
  <c r="G152" i="1"/>
  <c r="U152" i="1"/>
  <c r="G147" i="1"/>
  <c r="U147" i="1"/>
  <c r="G160" i="1"/>
  <c r="U160" i="1"/>
  <c r="G153" i="1"/>
  <c r="U153" i="1"/>
  <c r="G148" i="1"/>
  <c r="U148" i="1"/>
  <c r="G154" i="1"/>
  <c r="U154" i="1"/>
  <c r="G159" i="1"/>
  <c r="U159" i="1"/>
  <c r="P143" i="1"/>
  <c r="P144" i="1" s="1"/>
  <c r="P149" i="1"/>
  <c r="U149" i="1" s="1"/>
  <c r="P137" i="1"/>
  <c r="P138" i="1" s="1"/>
  <c r="P155" i="1"/>
  <c r="U155" i="1" s="1"/>
  <c r="P161" i="1"/>
  <c r="U161" i="1" s="1"/>
  <c r="P162" i="1" l="1"/>
  <c r="G161" i="1"/>
  <c r="P156" i="1"/>
  <c r="G155" i="1"/>
  <c r="P150" i="1"/>
  <c r="G149" i="1"/>
  <c r="F145" i="1"/>
  <c r="E145" i="1" s="1"/>
  <c r="G130" i="1"/>
  <c r="H130" i="1" s="1"/>
  <c r="F139" i="1"/>
  <c r="E139" i="1" s="1"/>
  <c r="G156" i="1" l="1"/>
  <c r="U156" i="1"/>
  <c r="G150" i="1"/>
  <c r="U150" i="1"/>
  <c r="G162" i="1"/>
  <c r="U162" i="1"/>
  <c r="M6" i="1" s="1"/>
  <c r="G131" i="1"/>
  <c r="H131" i="1" s="1"/>
  <c r="F131" i="1" s="1"/>
  <c r="E131" i="1" s="1"/>
  <c r="F163" i="1"/>
  <c r="E163" i="1" s="1"/>
  <c r="F157" i="1"/>
  <c r="E157" i="1" s="1"/>
  <c r="F151" i="1"/>
  <c r="E151" i="1" s="1"/>
  <c r="P139" i="1"/>
  <c r="U139" i="1" s="1"/>
  <c r="C10" i="1" s="1"/>
  <c r="F130" i="1"/>
  <c r="E130" i="1" s="1"/>
  <c r="P145" i="1"/>
  <c r="U145" i="1" s="1"/>
  <c r="M10" i="1" s="1"/>
  <c r="G145" i="1" l="1"/>
  <c r="P124" i="1" s="1"/>
  <c r="P151" i="1"/>
  <c r="P32" i="1"/>
  <c r="P163" i="1"/>
  <c r="U163" i="1" s="1"/>
  <c r="P157" i="1"/>
  <c r="P130" i="1"/>
  <c r="P31" i="1"/>
  <c r="G139" i="1"/>
  <c r="P123" i="1" s="1"/>
  <c r="P131" i="1"/>
  <c r="U130" i="1" l="1"/>
  <c r="A15" i="1" s="1"/>
  <c r="U157" i="1"/>
  <c r="S10" i="1" s="1"/>
  <c r="U32" i="1"/>
  <c r="M13" i="1" s="1"/>
  <c r="U151" i="1"/>
  <c r="Q10" i="1" s="1"/>
  <c r="U131" i="1"/>
  <c r="R15" i="1" s="1"/>
  <c r="U124" i="1"/>
  <c r="M19" i="1" s="1"/>
  <c r="U123" i="1"/>
  <c r="C19" i="1" s="1"/>
  <c r="U31" i="1"/>
  <c r="C13" i="1" s="1"/>
  <c r="G163" i="1"/>
  <c r="P33" i="1"/>
  <c r="G151" i="1"/>
  <c r="P125" i="1" s="1"/>
  <c r="P35" i="1"/>
  <c r="P34" i="1"/>
  <c r="G157" i="1"/>
  <c r="P126" i="1" s="1"/>
  <c r="U126" i="1" l="1"/>
  <c r="S19" i="1" s="1"/>
  <c r="U34" i="1"/>
  <c r="S13" i="1" s="1"/>
  <c r="U35" i="1"/>
  <c r="O10" i="1" s="1"/>
  <c r="U125" i="1"/>
  <c r="Q19" i="1" s="1"/>
  <c r="U33" i="1"/>
  <c r="Q13" i="1" s="1"/>
  <c r="P127" i="1"/>
</calcChain>
</file>

<file path=xl/sharedStrings.xml><?xml version="1.0" encoding="utf-8"?>
<sst xmlns="http://schemas.openxmlformats.org/spreadsheetml/2006/main" count="126" uniqueCount="118">
  <si>
    <t>0</t>
  </si>
  <si>
    <t>Z1</t>
  </si>
  <si>
    <t>Z2</t>
  </si>
  <si>
    <t>Z3</t>
  </si>
  <si>
    <t>Z2*Z3</t>
  </si>
  <si>
    <t>Z1*Z3</t>
  </si>
  <si>
    <t>Z1*Z2</t>
  </si>
  <si>
    <t>-Z1*Z3</t>
  </si>
  <si>
    <t>-Z2</t>
  </si>
  <si>
    <t>U3-U2</t>
  </si>
  <si>
    <t>hoek in graden</t>
  </si>
  <si>
    <t>cos</t>
  </si>
  <si>
    <t>sin</t>
  </si>
  <si>
    <t>W</t>
  </si>
  <si>
    <t>complexe notatie</t>
  </si>
  <si>
    <t>complexe notatie U1, U2 en U3</t>
  </si>
  <si>
    <t>hoek U in rad</t>
  </si>
  <si>
    <t>Z4</t>
  </si>
  <si>
    <t>-Z4</t>
  </si>
  <si>
    <t>Z5</t>
  </si>
  <si>
    <t>-Z5</t>
  </si>
  <si>
    <t>-Z1*Z2</t>
  </si>
  <si>
    <t>Z2*Z4</t>
  </si>
  <si>
    <t>-Z2*Z3</t>
  </si>
  <si>
    <t>p</t>
  </si>
  <si>
    <t>-Z2*Z4</t>
  </si>
  <si>
    <t>Z3*Z4</t>
  </si>
  <si>
    <t>-Z3*Z4</t>
  </si>
  <si>
    <t>Z1*Z4</t>
  </si>
  <si>
    <t>-Z1*Z4</t>
  </si>
  <si>
    <t>Z3*Z5</t>
  </si>
  <si>
    <t>-Z3*Z5</t>
  </si>
  <si>
    <t>Z4*Z5</t>
  </si>
  <si>
    <t>-Z4*Z5</t>
  </si>
  <si>
    <t>Z1*Z5</t>
  </si>
  <si>
    <t>-Z1*Z5</t>
  </si>
  <si>
    <t>Z2*Z5</t>
  </si>
  <si>
    <t>-Z2*Z5</t>
  </si>
  <si>
    <t>Z1*Z2*Z3</t>
  </si>
  <si>
    <t>-Z1*Z2*Z3</t>
  </si>
  <si>
    <t>Z1*Z2*Z4</t>
  </si>
  <si>
    <t>-Z1*Z2*Z4</t>
  </si>
  <si>
    <t>Z1*Z3*Z4</t>
  </si>
  <si>
    <t>Z1*Z3*Z5</t>
  </si>
  <si>
    <t>Z2*Z3*Z4</t>
  </si>
  <si>
    <t>Z1*Z4*Z5</t>
  </si>
  <si>
    <t>Z2*Z4*Z5</t>
  </si>
  <si>
    <t>Z2*Z3*Z5</t>
  </si>
  <si>
    <t>Z1Z2Z3+Z1Z2Z4+Z1Z3Z4+Z1Z3Z5+Z2Z3Z4+Z1Z4Z5+Z2Z3Z5+Z2Z4Z5</t>
  </si>
  <si>
    <t>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</si>
  <si>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</si>
  <si>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</si>
  <si>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</si>
  <si>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</si>
  <si>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</si>
  <si>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</si>
  <si>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</si>
  <si>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</si>
  <si>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</si>
  <si>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</si>
  <si>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</si>
  <si>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</si>
  <si>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</si>
  <si>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</si>
  <si>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</si>
  <si>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</si>
  <si>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U2-U1</t>
  </si>
  <si>
    <t>U4-U3</t>
  </si>
  <si>
    <t>hoek in radialen</t>
  </si>
  <si>
    <t>Results:</t>
  </si>
  <si>
    <t>HAN University of Applied Sciences, Arnhem, the Netherlands</t>
  </si>
  <si>
    <t>Phase shift [◦]</t>
  </si>
  <si>
    <t>value U [V]</t>
  </si>
  <si>
    <t>U1</t>
  </si>
  <si>
    <t>U2</t>
  </si>
  <si>
    <t>U3</t>
  </si>
  <si>
    <t>U4</t>
  </si>
  <si>
    <t>value R [Ω]</t>
  </si>
  <si>
    <t>value X [Ω]</t>
  </si>
  <si>
    <t>R2</t>
  </si>
  <si>
    <t>R3</t>
  </si>
  <si>
    <t>R4</t>
  </si>
  <si>
    <t>R5</t>
  </si>
  <si>
    <t>jX1</t>
  </si>
  <si>
    <t>jX2</t>
  </si>
  <si>
    <t>jX3</t>
  </si>
  <si>
    <t>jX4</t>
  </si>
  <si>
    <t>jX5</t>
  </si>
  <si>
    <t>Ua</t>
  </si>
  <si>
    <t>Ub</t>
  </si>
  <si>
    <t xml:space="preserve">I1 </t>
  </si>
  <si>
    <t xml:space="preserve">I2 </t>
  </si>
  <si>
    <t xml:space="preserve">I3 </t>
  </si>
  <si>
    <t xml:space="preserve">I4 </t>
  </si>
  <si>
    <t xml:space="preserve">I5 </t>
  </si>
  <si>
    <t>R1</t>
  </si>
  <si>
    <t>U [V]</t>
  </si>
  <si>
    <t>I [A]</t>
  </si>
  <si>
    <t>→</t>
  </si>
  <si>
    <t>abs I [A]</t>
  </si>
  <si>
    <t>Example: Suppose the following circuit. Use the tool with U1 =100, U2 = 0, U3 = 0, U4 = -60, R1 = 10, R2 = 99999, R3 = 5, R4 = 20 and R5 = 0.</t>
  </si>
  <si>
    <t xml:space="preserve"> V</t>
  </si>
  <si>
    <t xml:space="preserve"> A</t>
  </si>
  <si>
    <t xml:space="preserve"> W</t>
  </si>
  <si>
    <t xml:space="preserve">  VAR</t>
  </si>
  <si>
    <r>
      <rPr>
        <sz val="11"/>
        <color rgb="FFC00000"/>
        <rFont val="Calibri"/>
        <family val="2"/>
      </rPr>
      <t>©</t>
    </r>
    <r>
      <rPr>
        <sz val="11"/>
        <color rgb="FFC00000"/>
        <rFont val="Calibri"/>
        <family val="2"/>
        <scheme val="minor"/>
      </rPr>
      <t xml:space="preserve"> Amperes.nl  email: info@amperes.nl</t>
    </r>
  </si>
  <si>
    <t>P</t>
  </si>
  <si>
    <t>Specify the number of digits after the decimal point:</t>
  </si>
  <si>
    <t>Fill in values (red):</t>
  </si>
  <si>
    <t>U, I and R</t>
  </si>
  <si>
    <r>
      <t xml:space="preserve"> </t>
    </r>
    <r>
      <rPr>
        <sz val="11"/>
        <color theme="1"/>
        <rFont val="Calibri"/>
        <family val="2"/>
      </rPr>
      <t>Ω</t>
    </r>
  </si>
  <si>
    <t>P [W] *</t>
  </si>
  <si>
    <t>*) If P negative = delivering active power and if P positive = consuming active power</t>
  </si>
  <si>
    <t>Bram Steennis, version January 29 2021</t>
  </si>
  <si>
    <t>3 LOOPS ELECTRICAL DC CIRCUIT CALCULATOR</t>
  </si>
  <si>
    <t>For private use only and not for commercial settings</t>
  </si>
  <si>
    <t xml:space="preserve"> Ω</t>
  </si>
  <si>
    <r>
      <rPr>
        <sz val="20"/>
        <rFont val="Calibri"/>
        <family val="2"/>
      </rPr>
      <t>∑</t>
    </r>
    <r>
      <rPr>
        <sz val="20"/>
        <rFont val="Calibri"/>
        <family val="2"/>
        <scheme val="minor"/>
      </rPr>
      <t xml:space="preserve">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</si>
</sst>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00B0F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0070C0"/>
      <name val="Calibri"/>
      <family val="2"/>
      <scheme val="minor"/>
    </font>
    <font>
      <sz val="20"/>
      <color theme="5" tint="-0.249977111117893"/>
      <name val="Calibri"/>
      <family val="2"/>
      <scheme val="minor"/>
    </font>
    <font>
      <sz val="22"/>
      <color theme="1"/>
      <name val="Calibri"/>
      <family val="2"/>
    </font>
    <font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sz val="34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E020D2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rgb="FFE020D2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color theme="0"/>
      <name val="Calibri"/>
      <family val="2"/>
    </font>
    <font>
      <sz val="20"/>
      <name val="Calibri"/>
      <family val="2"/>
      <scheme val="minor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8" fillId="0" borderId="0" xfId="0" applyFont="1" applyProtection="1"/>
    <xf numFmtId="49" fontId="6" fillId="0" borderId="0" xfId="0" applyNumberFormat="1" applyFont="1" applyBorder="1" applyProtection="1"/>
    <xf numFmtId="4" fontId="9" fillId="0" borderId="0" xfId="0" applyNumberFormat="1" applyFont="1" applyBorder="1" applyProtection="1">
      <protection locked="0"/>
    </xf>
    <xf numFmtId="0" fontId="6" fillId="0" borderId="0" xfId="0" applyFont="1" applyBorder="1" applyProtection="1">
      <protection locked="0"/>
    </xf>
    <xf numFmtId="49" fontId="6" fillId="0" borderId="0" xfId="0" applyNumberFormat="1" applyFont="1"/>
    <xf numFmtId="0" fontId="6" fillId="0" borderId="0" xfId="0" applyFont="1"/>
    <xf numFmtId="49" fontId="6" fillId="0" borderId="0" xfId="0" applyNumberFormat="1" applyFont="1" applyBorder="1" applyAlignment="1" applyProtection="1">
      <alignment horizontal="left"/>
    </xf>
    <xf numFmtId="165" fontId="9" fillId="0" borderId="0" xfId="0" applyNumberFormat="1" applyFont="1" applyBorder="1" applyProtection="1">
      <protection locked="0"/>
    </xf>
    <xf numFmtId="49" fontId="7" fillId="0" borderId="0" xfId="0" applyNumberFormat="1" applyFont="1" applyBorder="1" applyAlignment="1" applyProtection="1">
      <alignment horizontal="left"/>
    </xf>
    <xf numFmtId="0" fontId="9" fillId="0" borderId="0" xfId="0" applyFont="1" applyBorder="1" applyProtection="1"/>
    <xf numFmtId="165" fontId="9" fillId="0" borderId="0" xfId="0" applyNumberFormat="1" applyFont="1" applyBorder="1" applyProtection="1"/>
    <xf numFmtId="49" fontId="10" fillId="0" borderId="0" xfId="0" applyNumberFormat="1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right"/>
    </xf>
    <xf numFmtId="165" fontId="10" fillId="0" borderId="0" xfId="0" applyNumberFormat="1" applyFont="1" applyBorder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6" fillId="2" borderId="0" xfId="0" applyFont="1" applyFill="1" applyProtection="1"/>
    <xf numFmtId="165" fontId="6" fillId="2" borderId="0" xfId="0" applyNumberFormat="1" applyFont="1" applyFill="1" applyProtection="1"/>
    <xf numFmtId="0" fontId="6" fillId="0" borderId="0" xfId="0" applyNumberFormat="1" applyFont="1" applyProtection="1"/>
    <xf numFmtId="165" fontId="6" fillId="0" borderId="0" xfId="0" applyNumberFormat="1" applyFont="1" applyProtection="1"/>
    <xf numFmtId="49" fontId="6" fillId="0" borderId="0" xfId="0" applyNumberFormat="1" applyFont="1" applyProtection="1"/>
    <xf numFmtId="165" fontId="9" fillId="0" borderId="0" xfId="0" applyNumberFormat="1" applyFont="1" applyProtection="1"/>
    <xf numFmtId="0" fontId="6" fillId="2" borderId="0" xfId="0" applyNumberFormat="1" applyFont="1" applyFill="1" applyProtection="1"/>
    <xf numFmtId="165" fontId="6" fillId="0" borderId="0" xfId="0" applyNumberFormat="1" applyFont="1" applyBorder="1" applyProtection="1"/>
    <xf numFmtId="165" fontId="6" fillId="0" borderId="0" xfId="0" applyNumberFormat="1" applyFont="1" applyFill="1" applyProtection="1"/>
    <xf numFmtId="4" fontId="6" fillId="0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6" fillId="0" borderId="0" xfId="0" applyNumberFormat="1" applyFont="1" applyFill="1" applyProtection="1"/>
    <xf numFmtId="2" fontId="6" fillId="0" borderId="0" xfId="0" applyNumberFormat="1" applyFont="1" applyFill="1" applyProtection="1"/>
    <xf numFmtId="2" fontId="10" fillId="0" borderId="0" xfId="0" applyNumberFormat="1" applyFont="1" applyFill="1" applyProtection="1"/>
    <xf numFmtId="0" fontId="6" fillId="0" borderId="0" xfId="0" applyFont="1" applyFill="1" applyProtection="1"/>
    <xf numFmtId="3" fontId="6" fillId="0" borderId="0" xfId="0" applyNumberFormat="1" applyFont="1" applyFill="1" applyProtection="1"/>
    <xf numFmtId="0" fontId="10" fillId="0" borderId="0" xfId="0" applyFont="1" applyProtection="1"/>
    <xf numFmtId="0" fontId="11" fillId="0" borderId="0" xfId="0" applyFont="1" applyProtection="1"/>
    <xf numFmtId="49" fontId="6" fillId="0" borderId="0" xfId="0" applyNumberFormat="1" applyFont="1" applyBorder="1" applyAlignment="1" applyProtection="1">
      <alignment horizontal="right"/>
    </xf>
    <xf numFmtId="49" fontId="7" fillId="0" borderId="0" xfId="0" applyNumberFormat="1" applyFont="1" applyBorder="1" applyAlignment="1" applyProtection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</xf>
    <xf numFmtId="0" fontId="0" fillId="0" borderId="0" xfId="0" applyNumberFormat="1" applyAlignment="1" applyProtection="1">
      <alignment horizontal="right"/>
    </xf>
    <xf numFmtId="0" fontId="6" fillId="0" borderId="1" xfId="0" applyFont="1" applyBorder="1" applyProtection="1"/>
    <xf numFmtId="0" fontId="7" fillId="0" borderId="2" xfId="0" applyFont="1" applyBorder="1" applyAlignment="1" applyProtection="1">
      <alignment horizontal="right"/>
    </xf>
    <xf numFmtId="4" fontId="9" fillId="0" borderId="4" xfId="0" applyNumberFormat="1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0" fontId="8" fillId="0" borderId="1" xfId="0" applyFont="1" applyBorder="1" applyProtection="1"/>
    <xf numFmtId="4" fontId="7" fillId="0" borderId="2" xfId="0" applyNumberFormat="1" applyFont="1" applyBorder="1" applyAlignment="1" applyProtection="1">
      <alignment horizontal="right"/>
    </xf>
    <xf numFmtId="4" fontId="7" fillId="0" borderId="7" xfId="0" applyNumberFormat="1" applyFont="1" applyBorder="1" applyAlignment="1" applyProtection="1">
      <alignment horizontal="right"/>
    </xf>
    <xf numFmtId="49" fontId="6" fillId="0" borderId="1" xfId="0" applyNumberFormat="1" applyFont="1" applyBorder="1" applyProtection="1"/>
    <xf numFmtId="49" fontId="6" fillId="0" borderId="3" xfId="0" applyNumberFormat="1" applyFont="1" applyBorder="1" applyProtection="1"/>
    <xf numFmtId="0" fontId="6" fillId="2" borderId="4" xfId="0" applyNumberFormat="1" applyFont="1" applyFill="1" applyBorder="1" applyProtection="1"/>
    <xf numFmtId="0" fontId="0" fillId="0" borderId="0" xfId="0" applyBorder="1" applyProtection="1">
      <protection locked="0"/>
    </xf>
    <xf numFmtId="0" fontId="0" fillId="0" borderId="0" xfId="0" applyBorder="1"/>
    <xf numFmtId="49" fontId="6" fillId="0" borderId="0" xfId="0" applyNumberFormat="1" applyFont="1" applyBorder="1"/>
    <xf numFmtId="0" fontId="6" fillId="0" borderId="0" xfId="0" applyFont="1" applyBorder="1"/>
    <xf numFmtId="0" fontId="0" fillId="0" borderId="10" xfId="0" applyBorder="1" applyProtection="1"/>
    <xf numFmtId="0" fontId="8" fillId="0" borderId="10" xfId="0" applyFont="1" applyBorder="1" applyProtection="1"/>
    <xf numFmtId="0" fontId="6" fillId="0" borderId="10" xfId="0" applyFont="1" applyBorder="1" applyProtection="1"/>
    <xf numFmtId="0" fontId="0" fillId="0" borderId="11" xfId="0" applyBorder="1" applyProtection="1">
      <protection locked="0"/>
    </xf>
    <xf numFmtId="0" fontId="0" fillId="0" borderId="11" xfId="0" applyBorder="1"/>
    <xf numFmtId="0" fontId="6" fillId="0" borderId="11" xfId="0" applyFont="1" applyBorder="1"/>
    <xf numFmtId="49" fontId="6" fillId="0" borderId="11" xfId="0" applyNumberFormat="1" applyFont="1" applyBorder="1" applyAlignment="1" applyProtection="1">
      <alignment horizontal="right"/>
    </xf>
    <xf numFmtId="0" fontId="0" fillId="0" borderId="10" xfId="0" applyBorder="1" applyProtection="1">
      <protection locked="0"/>
    </xf>
    <xf numFmtId="0" fontId="0" fillId="0" borderId="10" xfId="0" applyBorder="1"/>
    <xf numFmtId="49" fontId="6" fillId="0" borderId="10" xfId="0" applyNumberFormat="1" applyFont="1" applyBorder="1"/>
    <xf numFmtId="49" fontId="6" fillId="0" borderId="10" xfId="0" applyNumberFormat="1" applyFont="1" applyBorder="1" applyAlignment="1" applyProtection="1">
      <alignment horizontal="right"/>
    </xf>
    <xf numFmtId="4" fontId="9" fillId="0" borderId="2" xfId="0" applyNumberFormat="1" applyFont="1" applyBorder="1" applyProtection="1">
      <protection locked="0"/>
    </xf>
    <xf numFmtId="4" fontId="7" fillId="0" borderId="0" xfId="0" applyNumberFormat="1" applyFont="1" applyBorder="1" applyAlignment="1" applyProtection="1">
      <alignment horizontal="right"/>
    </xf>
    <xf numFmtId="0" fontId="6" fillId="2" borderId="0" xfId="0" applyNumberFormat="1" applyFont="1" applyFill="1" applyBorder="1" applyProtection="1"/>
    <xf numFmtId="49" fontId="0" fillId="0" borderId="0" xfId="0" applyNumberFormat="1" applyFont="1" applyProtection="1"/>
    <xf numFmtId="49" fontId="15" fillId="0" borderId="0" xfId="0" applyNumberFormat="1" applyFont="1"/>
    <xf numFmtId="49" fontId="10" fillId="0" borderId="0" xfId="0" applyNumberFormat="1" applyFont="1" applyFill="1" applyBorder="1" applyProtection="1"/>
    <xf numFmtId="4" fontId="10" fillId="0" borderId="0" xfId="0" applyNumberFormat="1" applyFont="1" applyFill="1" applyBorder="1" applyProtection="1"/>
    <xf numFmtId="4" fontId="0" fillId="0" borderId="0" xfId="0" applyNumberFormat="1" applyProtection="1"/>
    <xf numFmtId="4" fontId="0" fillId="0" borderId="0" xfId="1" applyNumberFormat="1" applyFont="1" applyProtection="1"/>
    <xf numFmtId="166" fontId="0" fillId="0" borderId="0" xfId="0" applyNumberFormat="1" applyProtection="1"/>
    <xf numFmtId="0" fontId="20" fillId="3" borderId="9" xfId="0" applyFont="1" applyFill="1" applyBorder="1" applyProtection="1">
      <protection locked="0"/>
    </xf>
    <xf numFmtId="4" fontId="9" fillId="0" borderId="0" xfId="0" applyNumberFormat="1" applyFont="1" applyBorder="1" applyProtection="1"/>
    <xf numFmtId="49" fontId="13" fillId="0" borderId="0" xfId="0" applyNumberFormat="1" applyFont="1" applyProtection="1"/>
    <xf numFmtId="49" fontId="0" fillId="0" borderId="0" xfId="0" applyNumberFormat="1" applyProtection="1"/>
    <xf numFmtId="49" fontId="16" fillId="0" borderId="0" xfId="0" applyNumberFormat="1" applyFont="1" applyAlignment="1" applyProtection="1">
      <alignment vertical="top"/>
    </xf>
    <xf numFmtId="0" fontId="3" fillId="0" borderId="0" xfId="0" applyFont="1" applyProtection="1"/>
    <xf numFmtId="0" fontId="19" fillId="3" borderId="12" xfId="0" applyFont="1" applyFill="1" applyBorder="1" applyAlignment="1" applyProtection="1">
      <alignment horizontal="right"/>
    </xf>
    <xf numFmtId="49" fontId="3" fillId="0" borderId="0" xfId="0" applyNumberFormat="1" applyFont="1" applyProtection="1"/>
    <xf numFmtId="0" fontId="3" fillId="0" borderId="0" xfId="0" applyNumberFormat="1" applyFont="1" applyFill="1" applyBorder="1" applyProtection="1"/>
    <xf numFmtId="0" fontId="3" fillId="0" borderId="0" xfId="0" applyNumberFormat="1" applyFont="1" applyFill="1" applyProtection="1"/>
    <xf numFmtId="49" fontId="21" fillId="0" borderId="0" xfId="0" applyNumberFormat="1" applyFont="1" applyProtection="1"/>
    <xf numFmtId="0" fontId="0" fillId="0" borderId="0" xfId="0" applyNumberFormat="1"/>
    <xf numFmtId="0" fontId="0" fillId="0" borderId="0" xfId="0" applyNumberFormat="1" applyProtection="1">
      <protection locked="0"/>
    </xf>
    <xf numFmtId="0" fontId="16" fillId="0" borderId="0" xfId="0" applyNumberFormat="1" applyFont="1"/>
    <xf numFmtId="0" fontId="22" fillId="0" borderId="0" xfId="0" applyNumberFormat="1" applyFont="1" applyAlignment="1" applyProtection="1">
      <alignment horizontal="left"/>
      <protection locked="0"/>
    </xf>
    <xf numFmtId="0" fontId="16" fillId="0" borderId="0" xfId="0" applyNumberFormat="1" applyFont="1" applyAlignment="1" applyProtection="1">
      <alignment horizontal="left"/>
      <protection locked="0"/>
    </xf>
    <xf numFmtId="0" fontId="23" fillId="0" borderId="0" xfId="0" applyNumberFormat="1" applyFont="1" applyAlignment="1">
      <alignment horizontal="left"/>
    </xf>
    <xf numFmtId="0" fontId="22" fillId="0" borderId="0" xfId="0" applyNumberFormat="1" applyFont="1" applyAlignment="1" applyProtection="1">
      <alignment horizontal="left"/>
    </xf>
    <xf numFmtId="0" fontId="16" fillId="0" borderId="0" xfId="0" applyNumberFormat="1" applyFont="1" applyAlignment="1" applyProtection="1">
      <alignment horizontal="left"/>
    </xf>
    <xf numFmtId="0" fontId="23" fillId="0" borderId="0" xfId="0" applyNumberFormat="1" applyFont="1" applyAlignment="1" applyProtection="1">
      <alignment horizontal="left"/>
      <protection locked="0"/>
    </xf>
    <xf numFmtId="0" fontId="23" fillId="0" borderId="0" xfId="0" applyNumberFormat="1" applyFont="1" applyAlignment="1" applyProtection="1">
      <alignment horizontal="left"/>
    </xf>
    <xf numFmtId="0" fontId="16" fillId="0" borderId="0" xfId="0" applyNumberFormat="1" applyFont="1" applyAlignment="1">
      <alignment horizontal="left"/>
    </xf>
    <xf numFmtId="0" fontId="24" fillId="0" borderId="0" xfId="0" applyNumberFormat="1" applyFont="1" applyAlignment="1">
      <alignment horizontal="left"/>
    </xf>
    <xf numFmtId="0" fontId="24" fillId="0" borderId="0" xfId="0" applyNumberFormat="1" applyFont="1" applyAlignment="1" applyProtection="1">
      <alignment horizontal="left"/>
    </xf>
    <xf numFmtId="49" fontId="7" fillId="0" borderId="1" xfId="0" applyNumberFormat="1" applyFont="1" applyBorder="1" applyAlignment="1" applyProtection="1">
      <alignment horizontal="right"/>
    </xf>
    <xf numFmtId="49" fontId="7" fillId="0" borderId="10" xfId="0" applyNumberFormat="1" applyFont="1" applyBorder="1" applyAlignment="1" applyProtection="1">
      <alignment horizontal="right"/>
    </xf>
    <xf numFmtId="3" fontId="5" fillId="0" borderId="2" xfId="0" applyNumberFormat="1" applyFont="1" applyBorder="1" applyProtection="1">
      <protection locked="0"/>
    </xf>
    <xf numFmtId="49" fontId="7" fillId="0" borderId="3" xfId="0" applyNumberFormat="1" applyFont="1" applyBorder="1" applyAlignment="1" applyProtection="1">
      <alignment horizontal="right"/>
    </xf>
    <xf numFmtId="3" fontId="5" fillId="0" borderId="4" xfId="0" applyNumberFormat="1" applyFont="1" applyBorder="1" applyProtection="1">
      <protection locked="0"/>
    </xf>
    <xf numFmtId="49" fontId="7" fillId="0" borderId="5" xfId="0" applyNumberFormat="1" applyFont="1" applyBorder="1" applyAlignment="1" applyProtection="1">
      <alignment horizontal="right"/>
    </xf>
    <xf numFmtId="49" fontId="7" fillId="0" borderId="11" xfId="0" applyNumberFormat="1" applyFont="1" applyBorder="1" applyAlignment="1" applyProtection="1">
      <alignment horizontal="right"/>
    </xf>
    <xf numFmtId="3" fontId="5" fillId="0" borderId="6" xfId="0" applyNumberFormat="1" applyFont="1" applyBorder="1" applyProtection="1">
      <protection locked="0"/>
    </xf>
    <xf numFmtId="0" fontId="23" fillId="0" borderId="8" xfId="0" applyFont="1" applyBorder="1"/>
    <xf numFmtId="0" fontId="23" fillId="0" borderId="8" xfId="0" applyFont="1" applyBorder="1" applyProtection="1"/>
    <xf numFmtId="0" fontId="23" fillId="0" borderId="8" xfId="0" applyNumberFormat="1" applyFont="1" applyBorder="1" applyProtection="1"/>
    <xf numFmtId="49" fontId="26" fillId="0" borderId="1" xfId="0" applyNumberFormat="1" applyFont="1" applyBorder="1" applyAlignment="1" applyProtection="1">
      <alignment horizontal="left"/>
    </xf>
    <xf numFmtId="49" fontId="26" fillId="0" borderId="5" xfId="0" applyNumberFormat="1" applyFont="1" applyBorder="1" applyAlignment="1" applyProtection="1">
      <alignment horizontal="left"/>
    </xf>
    <xf numFmtId="49" fontId="27" fillId="0" borderId="1" xfId="0" applyNumberFormat="1" applyFont="1" applyFill="1" applyBorder="1" applyProtection="1"/>
    <xf numFmtId="49" fontId="27" fillId="0" borderId="3" xfId="0" applyNumberFormat="1" applyFont="1" applyFill="1" applyBorder="1" applyProtection="1"/>
    <xf numFmtId="49" fontId="27" fillId="0" borderId="3" xfId="0" applyNumberFormat="1" applyFont="1" applyBorder="1" applyProtection="1"/>
    <xf numFmtId="49" fontId="27" fillId="0" borderId="5" xfId="0" applyNumberFormat="1" applyFont="1" applyFill="1" applyBorder="1" applyProtection="1"/>
    <xf numFmtId="0" fontId="28" fillId="0" borderId="0" xfId="0" applyFont="1" applyProtection="1"/>
    <xf numFmtId="0" fontId="22" fillId="0" borderId="0" xfId="0" applyNumberFormat="1" applyFont="1" applyAlignment="1">
      <alignment horizontal="left"/>
    </xf>
    <xf numFmtId="0" fontId="0" fillId="3" borderId="0" xfId="0" applyFill="1" applyAlignment="1" applyProtection="1">
      <alignment wrapText="1"/>
    </xf>
    <xf numFmtId="49" fontId="29" fillId="0" borderId="0" xfId="0" applyNumberFormat="1" applyFont="1" applyAlignment="1" applyProtection="1">
      <alignment horizontal="right"/>
    </xf>
    <xf numFmtId="3" fontId="25" fillId="0" borderId="3" xfId="0" applyNumberFormat="1" applyFont="1" applyFill="1" applyBorder="1" applyAlignment="1" applyProtection="1"/>
    <xf numFmtId="0" fontId="0" fillId="0" borderId="0" xfId="0" applyAlignment="1"/>
    <xf numFmtId="164" fontId="29" fillId="0" borderId="0" xfId="0" applyNumberFormat="1" applyFont="1" applyFill="1" applyAlignment="1" applyProtection="1"/>
    <xf numFmtId="0" fontId="0" fillId="3" borderId="12" xfId="0" applyFill="1" applyBorder="1" applyProtection="1"/>
    <xf numFmtId="0" fontId="0" fillId="0" borderId="2" xfId="0" applyBorder="1" applyProtection="1"/>
    <xf numFmtId="0" fontId="0" fillId="0" borderId="4" xfId="0" applyBorder="1" applyAlignment="1"/>
    <xf numFmtId="3" fontId="25" fillId="0" borderId="5" xfId="0" applyNumberFormat="1" applyFont="1" applyFill="1" applyBorder="1" applyAlignment="1" applyProtection="1"/>
    <xf numFmtId="0" fontId="0" fillId="0" borderId="6" xfId="0" applyBorder="1" applyAlignment="1"/>
    <xf numFmtId="3" fontId="25" fillId="0" borderId="1" xfId="0" applyNumberFormat="1" applyFont="1" applyFill="1" applyBorder="1" applyAlignment="1" applyProtection="1"/>
    <xf numFmtId="0" fontId="0" fillId="0" borderId="2" xfId="0" applyBorder="1" applyAlignment="1"/>
    <xf numFmtId="4" fontId="26" fillId="0" borderId="1" xfId="0" applyNumberFormat="1" applyFont="1" applyBorder="1" applyAlignment="1" applyProtection="1"/>
    <xf numFmtId="4" fontId="26" fillId="0" borderId="5" xfId="0" applyNumberFormat="1" applyFont="1" applyBorder="1" applyAlignment="1" applyProtection="1"/>
    <xf numFmtId="4" fontId="27" fillId="0" borderId="1" xfId="0" applyNumberFormat="1" applyFont="1" applyFill="1" applyBorder="1" applyAlignment="1" applyProtection="1"/>
    <xf numFmtId="4" fontId="27" fillId="0" borderId="8" xfId="0" applyNumberFormat="1" applyFont="1" applyFill="1" applyBorder="1" applyProtection="1"/>
    <xf numFmtId="0" fontId="0" fillId="0" borderId="4" xfId="0" applyNumberFormat="1" applyBorder="1" applyProtection="1"/>
    <xf numFmtId="4" fontId="27" fillId="0" borderId="8" xfId="0" applyNumberFormat="1" applyFont="1" applyFill="1" applyBorder="1" applyAlignment="1" applyProtection="1"/>
    <xf numFmtId="0" fontId="0" fillId="0" borderId="4" xfId="0" applyBorder="1" applyProtection="1"/>
    <xf numFmtId="4" fontId="27" fillId="0" borderId="5" xfId="0" applyNumberFormat="1" applyFont="1" applyFill="1" applyBorder="1" applyAlignment="1" applyProtection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E020D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l-NL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9561136"/>
        <c:axId val="789562096"/>
      </c:lineChart>
      <c:catAx>
        <c:axId val="789561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l-NL"/>
          </a:p>
        </c:txPr>
        <c:crossAx val="789562096"/>
        <c:crosses val="autoZero"/>
        <c:auto val="1"/>
        <c:lblAlgn val="ctr"/>
        <c:lblOffset val="100"/>
        <c:noMultiLvlLbl val="0"/>
      </c:catAx>
      <c:valAx>
        <c:axId val="78956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l-NL"/>
          </a:p>
        </c:txPr>
        <c:crossAx val="78956113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latin typeface="Calibri" panose="020F0502020204030204" pitchFamily="34" charset="0"/>
          <a:cs typeface="Calibri" panose="020F050202020403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9561136"/>
        <c:axId val="789562096"/>
      </c:lineChart>
      <c:catAx>
        <c:axId val="789561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l-NL"/>
          </a:p>
        </c:txPr>
        <c:crossAx val="789562096"/>
        <c:crosses val="autoZero"/>
        <c:auto val="1"/>
        <c:lblAlgn val="ctr"/>
        <c:lblOffset val="100"/>
        <c:noMultiLvlLbl val="0"/>
      </c:catAx>
      <c:valAx>
        <c:axId val="78956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l-NL"/>
          </a:p>
        </c:txPr>
        <c:crossAx val="78956113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121920</xdr:rowOff>
    </xdr:from>
    <xdr:to>
      <xdr:col>19</xdr:col>
      <xdr:colOff>487680</xdr:colOff>
      <xdr:row>21</xdr:row>
      <xdr:rowOff>175260</xdr:rowOff>
    </xdr:to>
    <xdr:graphicFrame macro="">
      <xdr:nvGraphicFramePr>
        <xdr:cNvPr id="8" name="Grafiek 7">
          <a:extLst>
            <a:ext uri="{FF2B5EF4-FFF2-40B4-BE49-F238E27FC236}">
              <a16:creationId xmlns:a16="http://schemas.microsoft.com/office/drawing/2014/main" id="{B1196AB8-F374-4B85-999A-077ED03E7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129540</xdr:colOff>
      <xdr:row>185</xdr:row>
      <xdr:rowOff>106680</xdr:rowOff>
    </xdr:from>
    <xdr:to>
      <xdr:col>19</xdr:col>
      <xdr:colOff>541020</xdr:colOff>
      <xdr:row>203</xdr:row>
      <xdr:rowOff>167640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5242043B-7297-45D2-ADEA-6AF4B5E55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806450</xdr:colOff>
      <xdr:row>20</xdr:row>
      <xdr:rowOff>114300</xdr:rowOff>
    </xdr:from>
    <xdr:to>
      <xdr:col>15</xdr:col>
      <xdr:colOff>1127760</xdr:colOff>
      <xdr:row>27</xdr:row>
      <xdr:rowOff>53340</xdr:rowOff>
    </xdr:to>
    <xdr:sp macro="" textlink="">
      <xdr:nvSpPr>
        <xdr:cNvPr id="2" name="Pijl: gebogen omhoog 1">
          <a:extLst>
            <a:ext uri="{FF2B5EF4-FFF2-40B4-BE49-F238E27FC236}">
              <a16:creationId xmlns:a16="http://schemas.microsoft.com/office/drawing/2014/main" id="{7F67CEF9-68F8-4733-B42E-EC42B2362C4E}"/>
            </a:ext>
          </a:extLst>
        </xdr:cNvPr>
        <xdr:cNvSpPr/>
      </xdr:nvSpPr>
      <xdr:spPr>
        <a:xfrm flipH="1">
          <a:off x="5683250" y="3613150"/>
          <a:ext cx="321310" cy="485140"/>
        </a:xfrm>
        <a:prstGeom prst="bentUpArrow">
          <a:avLst>
            <a:gd name="adj1" fmla="val 25000"/>
            <a:gd name="adj2" fmla="val 23971"/>
            <a:gd name="adj3" fmla="val 25000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0.11648</cdr:x>
      <cdr:y>0.14685</cdr:y>
    </cdr:from>
    <cdr:to>
      <cdr:x>0.11957</cdr:x>
      <cdr:y>0.91715</cdr:y>
    </cdr:to>
    <cdr:cxnSp macro="">
      <cdr:nvCxnSpPr>
        <cdr:cNvPr id="5" name="Rechte verbindingslijn 4">
          <a:extLst xmlns:a="http://schemas.openxmlformats.org/drawingml/2006/main">
            <a:ext uri="{FF2B5EF4-FFF2-40B4-BE49-F238E27FC236}">
              <a16:creationId xmlns:a16="http://schemas.microsoft.com/office/drawing/2014/main" id="{B555340F-42AF-4747-961E-46005D17C3D0}"/>
            </a:ext>
          </a:extLst>
        </cdr:cNvPr>
        <cdr:cNvCxnSpPr/>
      </cdr:nvCxnSpPr>
      <cdr:spPr>
        <a:xfrm xmlns:a="http://schemas.openxmlformats.org/drawingml/2006/main">
          <a:off x="1247017" y="959001"/>
          <a:ext cx="33143" cy="5030319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10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0.39613</cdr:x>
      <cdr:y>0.15337</cdr:y>
    </cdr:from>
    <cdr:to>
      <cdr:x>0.42661</cdr:x>
      <cdr:y>0.15337</cdr:y>
    </cdr:to>
    <cdr:cxnSp macro="">
      <cdr:nvCxnSpPr>
        <cdr:cNvPr id="12" name="Rechte verbindingslijn met pijl 11">
          <a:extLst xmlns:a="http://schemas.openxmlformats.org/drawingml/2006/main">
            <a:ext uri="{FF2B5EF4-FFF2-40B4-BE49-F238E27FC236}">
              <a16:creationId xmlns:a16="http://schemas.microsoft.com/office/drawing/2014/main" id="{F711208C-ED34-48D0-807C-4AE07DA80EA5}"/>
            </a:ext>
          </a:extLst>
        </cdr:cNvPr>
        <cdr:cNvCxnSpPr/>
      </cdr:nvCxnSpPr>
      <cdr:spPr>
        <a:xfrm xmlns:a="http://schemas.openxmlformats.org/drawingml/2006/main" flipV="1">
          <a:off x="3344501" y="514219"/>
          <a:ext cx="257342" cy="0"/>
        </a:xfrm>
        <a:prstGeom xmlns:a="http://schemas.openxmlformats.org/drawingml/2006/main" prst="straightConnector1">
          <a:avLst/>
        </a:prstGeom>
        <a:ln xmlns:a="http://schemas.openxmlformats.org/drawingml/2006/main" w="28575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0.32152</cdr:x>
      <cdr:y>0.14644</cdr:y>
    </cdr:from>
    <cdr:to>
      <cdr:x>0.32332</cdr:x>
      <cdr:y>0.9142</cdr:y>
    </cdr:to>
    <cdr:cxnSp macro="">
      <cdr:nvCxnSpPr>
        <cdr:cNvPr id="15" name="Rechte verbindingslijn 14">
          <a:extLst xmlns:a="http://schemas.openxmlformats.org/drawingml/2006/main">
            <a:ext uri="{FF2B5EF4-FFF2-40B4-BE49-F238E27FC236}">
              <a16:creationId xmlns:a16="http://schemas.microsoft.com/office/drawing/2014/main" id="{0247733C-71D2-455C-9E03-837C3A1EE45A}"/>
            </a:ext>
          </a:extLst>
        </cdr:cNvPr>
        <cdr:cNvCxnSpPr/>
      </cdr:nvCxnSpPr>
      <cdr:spPr>
        <a:xfrm xmlns:a="http://schemas.openxmlformats.org/drawingml/2006/main">
          <a:off x="2739097" y="490975"/>
          <a:ext cx="15335" cy="257414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0.6321</cdr:x>
      <cdr:y>0.15152</cdr:y>
    </cdr:from>
    <cdr:to>
      <cdr:x>0.63274</cdr:x>
      <cdr:y>0.91715</cdr:y>
    </cdr:to>
    <cdr:cxnSp macro="">
      <cdr:nvCxnSpPr>
        <cdr:cNvPr id="18" name="Rechte verbindingslijn 17">
          <a:extLst xmlns:a="http://schemas.openxmlformats.org/drawingml/2006/main">
            <a:ext uri="{FF2B5EF4-FFF2-40B4-BE49-F238E27FC236}">
              <a16:creationId xmlns:a16="http://schemas.microsoft.com/office/drawing/2014/main" id="{0247733C-71D2-455C-9E03-837C3A1EE45A}"/>
            </a:ext>
          </a:extLst>
        </cdr:cNvPr>
        <cdr:cNvCxnSpPr/>
      </cdr:nvCxnSpPr>
      <cdr:spPr>
        <a:xfrm xmlns:a="http://schemas.openxmlformats.org/drawingml/2006/main">
          <a:off x="6767350" y="989445"/>
          <a:ext cx="6830" cy="499987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0.86851</cdr:x>
      <cdr:y>0.15181</cdr:y>
    </cdr:from>
    <cdr:to>
      <cdr:x>0.86904</cdr:x>
      <cdr:y>0.91365</cdr:y>
    </cdr:to>
    <cdr:cxnSp macro="">
      <cdr:nvCxnSpPr>
        <cdr:cNvPr id="24" name="Rechte verbindingslijn 23">
          <a:extLst xmlns:a="http://schemas.openxmlformats.org/drawingml/2006/main">
            <a:ext uri="{FF2B5EF4-FFF2-40B4-BE49-F238E27FC236}">
              <a16:creationId xmlns:a16="http://schemas.microsoft.com/office/drawing/2014/main" id="{FB6CA381-4C7A-4B68-89B9-EE018ED91EEB}"/>
            </a:ext>
          </a:extLst>
        </cdr:cNvPr>
        <cdr:cNvCxnSpPr/>
      </cdr:nvCxnSpPr>
      <cdr:spPr>
        <a:xfrm xmlns:a="http://schemas.openxmlformats.org/drawingml/2006/main">
          <a:off x="7650480" y="480060"/>
          <a:ext cx="4650" cy="240917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0.11305</cdr:x>
      <cdr:y>0.15085</cdr:y>
    </cdr:from>
    <cdr:to>
      <cdr:x>0.87024</cdr:x>
      <cdr:y>0.15181</cdr:y>
    </cdr:to>
    <cdr:cxnSp macro="">
      <cdr:nvCxnSpPr>
        <cdr:cNvPr id="27" name="Rechte verbindingslijn 26">
          <a:extLst xmlns:a="http://schemas.openxmlformats.org/drawingml/2006/main">
            <a:ext uri="{FF2B5EF4-FFF2-40B4-BE49-F238E27FC236}">
              <a16:creationId xmlns:a16="http://schemas.microsoft.com/office/drawing/2014/main" id="{B7C6D536-5A8F-49AD-90CE-025468238976}"/>
            </a:ext>
          </a:extLst>
        </cdr:cNvPr>
        <cdr:cNvCxnSpPr/>
      </cdr:nvCxnSpPr>
      <cdr:spPr>
        <a:xfrm xmlns:a="http://schemas.openxmlformats.org/drawingml/2006/main">
          <a:off x="995798" y="477034"/>
          <a:ext cx="6669922" cy="302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0.11815</cdr:x>
      <cdr:y>0.9121</cdr:y>
    </cdr:from>
    <cdr:to>
      <cdr:x>0.86928</cdr:x>
      <cdr:y>0.91249</cdr:y>
    </cdr:to>
    <cdr:cxnSp macro="">
      <cdr:nvCxnSpPr>
        <cdr:cNvPr id="32" name="Rechte verbindingslijn 31">
          <a:extLst xmlns:a="http://schemas.openxmlformats.org/drawingml/2006/main">
            <a:ext uri="{FF2B5EF4-FFF2-40B4-BE49-F238E27FC236}">
              <a16:creationId xmlns:a16="http://schemas.microsoft.com/office/drawing/2014/main" id="{B2424C12-9D01-4CA8-991E-70EC83BD4867}"/>
            </a:ext>
          </a:extLst>
        </cdr:cNvPr>
        <cdr:cNvCxnSpPr/>
      </cdr:nvCxnSpPr>
      <cdr:spPr>
        <a:xfrm xmlns:a="http://schemas.openxmlformats.org/drawingml/2006/main" flipV="1">
          <a:off x="1264920" y="5956300"/>
          <a:ext cx="8041709" cy="254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0.11691</cdr:x>
      <cdr:y>0.19275</cdr:y>
    </cdr:from>
    <cdr:to>
      <cdr:x>0.11691</cdr:x>
      <cdr:y>0.25718</cdr:y>
    </cdr:to>
    <cdr:cxnSp macro="">
      <cdr:nvCxnSpPr>
        <cdr:cNvPr id="48" name="Rechte verbindingslijn met pijl 47">
          <a:extLst xmlns:a="http://schemas.openxmlformats.org/drawingml/2006/main">
            <a:ext uri="{FF2B5EF4-FFF2-40B4-BE49-F238E27FC236}">
              <a16:creationId xmlns:a16="http://schemas.microsoft.com/office/drawing/2014/main" id="{2B700DEE-5F10-4710-819A-00D209F23D4A}"/>
            </a:ext>
          </a:extLst>
        </cdr:cNvPr>
        <cdr:cNvCxnSpPr/>
      </cdr:nvCxnSpPr>
      <cdr:spPr>
        <a:xfrm xmlns:a="http://schemas.openxmlformats.org/drawingml/2006/main" flipH="1" flipV="1">
          <a:off x="973720" y="646258"/>
          <a:ext cx="0" cy="216000"/>
        </a:xfrm>
        <a:prstGeom xmlns:a="http://schemas.openxmlformats.org/drawingml/2006/main" prst="straightConnector1">
          <a:avLst/>
        </a:prstGeom>
        <a:ln xmlns:a="http://schemas.openxmlformats.org/drawingml/2006/main" w="28575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0.12994</cdr:x>
      <cdr:y>0.73707</cdr:y>
    </cdr:from>
    <cdr:to>
      <cdr:x>0.1708</cdr:x>
      <cdr:y>0.80941</cdr:y>
    </cdr:to>
    <cdr:sp macro="" textlink="">
      <cdr:nvSpPr>
        <cdr:cNvPr id="6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1437640" y="4813300"/>
          <a:ext cx="452120" cy="472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sz="2800"/>
        </a:p>
      </cdr:txBody>
    </cdr:sp>
  </cdr:relSizeAnchor>
  <cdr:relSizeAnchor xmlns:cdr="http://schemas.openxmlformats.org/drawingml/2006/chartDrawing">
    <cdr:from>
      <cdr:x>0.08978</cdr:x>
      <cdr:y>0.64073</cdr:y>
    </cdr:from>
    <cdr:to>
      <cdr:x>0.14818</cdr:x>
      <cdr:y>0.78239</cdr:y>
    </cdr:to>
    <cdr:sp macro="" textlink="">
      <cdr:nvSpPr>
        <cdr:cNvPr id="69" name="Ovaal 7">
          <a:extLst xmlns:a="http://schemas.openxmlformats.org/drawingml/2006/main">
            <a:ext uri="{FF2B5EF4-FFF2-40B4-BE49-F238E27FC236}">
              <a16:creationId xmlns:a16="http://schemas.microsoft.com/office/drawing/2014/main" id="{7ABDB62A-B0AC-4FB1-9B9B-3C5F9450CF42}"/>
            </a:ext>
          </a:extLst>
        </cdr:cNvPr>
        <cdr:cNvSpPr/>
      </cdr:nvSpPr>
      <cdr:spPr>
        <a:xfrm xmlns:a="http://schemas.openxmlformats.org/drawingml/2006/main">
          <a:off x="1468055" y="4267200"/>
          <a:ext cx="955105" cy="943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71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0.30591</cdr:x>
      <cdr:y>0.35236</cdr:y>
    </cdr:from>
    <cdr:to>
      <cdr:x>0.34179</cdr:x>
      <cdr:y>0.51977</cdr:y>
    </cdr:to>
    <cdr:sp macro="" textlink="">
      <cdr:nvSpPr>
        <cdr:cNvPr id="75" name="Rechthoek 16">
          <a:extLst xmlns:a="http://schemas.openxmlformats.org/drawingml/2006/main">
            <a:ext uri="{FF2B5EF4-FFF2-40B4-BE49-F238E27FC236}">
              <a16:creationId xmlns:a16="http://schemas.microsoft.com/office/drawing/2014/main" id="{53A64F5C-C4AC-49A6-BFF0-34B4BBB1FE80}"/>
            </a:ext>
          </a:extLst>
        </cdr:cNvPr>
        <cdr:cNvSpPr/>
      </cdr:nvSpPr>
      <cdr:spPr>
        <a:xfrm xmlns:a="http://schemas.openxmlformats.org/drawingml/2006/main" rot="16200000">
          <a:off x="2478300" y="1309196"/>
          <a:ext cx="561293" cy="30566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0.4423</cdr:x>
      <cdr:y>0.10149</cdr:y>
    </cdr:from>
    <cdr:to>
      <cdr:x>0.51613</cdr:x>
      <cdr:y>0.19594</cdr:y>
    </cdr:to>
    <cdr:sp macro="" textlink="">
      <cdr:nvSpPr>
        <cdr:cNvPr id="84" name="Rechthoek 37">
          <a:extLst xmlns:a="http://schemas.openxmlformats.org/drawingml/2006/main">
            <a:ext uri="{FF2B5EF4-FFF2-40B4-BE49-F238E27FC236}">
              <a16:creationId xmlns:a16="http://schemas.microsoft.com/office/drawing/2014/main" id="{98591B34-B357-4557-8D78-8EAD7A768AEE}"/>
            </a:ext>
          </a:extLst>
        </cdr:cNvPr>
        <cdr:cNvSpPr/>
      </cdr:nvSpPr>
      <cdr:spPr>
        <a:xfrm xmlns:a="http://schemas.openxmlformats.org/drawingml/2006/main" rot="10800000">
          <a:off x="3734326" y="340263"/>
          <a:ext cx="623345" cy="31667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0.32169</cdr:x>
      <cdr:y>0.20604</cdr:y>
    </cdr:from>
    <cdr:to>
      <cdr:x>0.32237</cdr:x>
      <cdr:y>0.27046</cdr:y>
    </cdr:to>
    <cdr:cxnSp macro="">
      <cdr:nvCxnSpPr>
        <cdr:cNvPr id="91" name="Rechte verbindingslijn met pijl 50">
          <a:extLst xmlns:a="http://schemas.openxmlformats.org/drawingml/2006/main">
            <a:ext uri="{FF2B5EF4-FFF2-40B4-BE49-F238E27FC236}">
              <a16:creationId xmlns:a16="http://schemas.microsoft.com/office/drawing/2014/main" id="{784CEBF5-BB10-47FD-B4F7-BB0ABE65AB72}"/>
            </a:ext>
          </a:extLst>
        </cdr:cNvPr>
        <cdr:cNvCxnSpPr/>
      </cdr:nvCxnSpPr>
      <cdr:spPr>
        <a:xfrm xmlns:a="http://schemas.openxmlformats.org/drawingml/2006/main" flipH="1" flipV="1">
          <a:off x="2679245" y="690811"/>
          <a:ext cx="5664" cy="216000"/>
        </a:xfrm>
        <a:prstGeom xmlns:a="http://schemas.openxmlformats.org/drawingml/2006/main" prst="straightConnector1">
          <a:avLst/>
        </a:prstGeom>
        <a:ln xmlns:a="http://schemas.openxmlformats.org/drawingml/2006/main" w="28575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0.63133</cdr:x>
      <cdr:y>0.20599</cdr:y>
    </cdr:from>
    <cdr:to>
      <cdr:x>0.63202</cdr:x>
      <cdr:y>0.27041</cdr:y>
    </cdr:to>
    <cdr:cxnSp macro="">
      <cdr:nvCxnSpPr>
        <cdr:cNvPr id="92" name="Rechte verbindingslijn met pijl 51">
          <a:extLst xmlns:a="http://schemas.openxmlformats.org/drawingml/2006/main">
            <a:ext uri="{FF2B5EF4-FFF2-40B4-BE49-F238E27FC236}">
              <a16:creationId xmlns:a16="http://schemas.microsoft.com/office/drawing/2014/main" id="{784CEBF5-BB10-47FD-B4F7-BB0ABE65AB72}"/>
            </a:ext>
          </a:extLst>
        </cdr:cNvPr>
        <cdr:cNvCxnSpPr/>
      </cdr:nvCxnSpPr>
      <cdr:spPr>
        <a:xfrm xmlns:a="http://schemas.openxmlformats.org/drawingml/2006/main" flipH="1" flipV="1">
          <a:off x="5307883" y="648791"/>
          <a:ext cx="5802" cy="202897"/>
        </a:xfrm>
        <a:prstGeom xmlns:a="http://schemas.openxmlformats.org/drawingml/2006/main" prst="straightConnector1">
          <a:avLst/>
        </a:prstGeom>
        <a:ln xmlns:a="http://schemas.openxmlformats.org/drawingml/2006/main" w="28575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0.86827</cdr:x>
      <cdr:y>0.20251</cdr:y>
    </cdr:from>
    <cdr:to>
      <cdr:x>0.86896</cdr:x>
      <cdr:y>0.26693</cdr:y>
    </cdr:to>
    <cdr:cxnSp macro="">
      <cdr:nvCxnSpPr>
        <cdr:cNvPr id="93" name="Rechte verbindingslijn met pijl 52">
          <a:extLst xmlns:a="http://schemas.openxmlformats.org/drawingml/2006/main">
            <a:ext uri="{FF2B5EF4-FFF2-40B4-BE49-F238E27FC236}">
              <a16:creationId xmlns:a16="http://schemas.microsoft.com/office/drawing/2014/main" id="{784CEBF5-BB10-47FD-B4F7-BB0ABE65AB72}"/>
            </a:ext>
          </a:extLst>
        </cdr:cNvPr>
        <cdr:cNvCxnSpPr/>
      </cdr:nvCxnSpPr>
      <cdr:spPr>
        <a:xfrm xmlns:a="http://schemas.openxmlformats.org/drawingml/2006/main" flipH="1" flipV="1">
          <a:off x="7648349" y="640402"/>
          <a:ext cx="6078" cy="203715"/>
        </a:xfrm>
        <a:prstGeom xmlns:a="http://schemas.openxmlformats.org/drawingml/2006/main" prst="straightConnector1">
          <a:avLst/>
        </a:prstGeom>
        <a:ln xmlns:a="http://schemas.openxmlformats.org/drawingml/2006/main" w="28575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0.07636</cdr:x>
      <cdr:y>0.5282</cdr:y>
    </cdr:from>
    <cdr:to>
      <cdr:x>0.11723</cdr:x>
      <cdr:y>0.60054</cdr:y>
    </cdr:to>
    <cdr:sp macro="" textlink="">
      <cdr:nvSpPr>
        <cdr:cNvPr id="99" name="Tekstvak 1">
          <a:extLst xmlns:a="http://schemas.openxmlformats.org/drawingml/2006/main">
            <a:ext uri="{FF2B5EF4-FFF2-40B4-BE49-F238E27FC236}">
              <a16:creationId xmlns:a16="http://schemas.microsoft.com/office/drawing/2014/main" id="{1951F564-B3F7-4865-A29F-BA48F3B008B3}"/>
            </a:ext>
          </a:extLst>
        </cdr:cNvPr>
        <cdr:cNvSpPr txBox="1"/>
      </cdr:nvSpPr>
      <cdr:spPr>
        <a:xfrm xmlns:a="http://schemas.openxmlformats.org/drawingml/2006/main">
          <a:off x="642028" y="1663610"/>
          <a:ext cx="343610" cy="22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0.28349</cdr:x>
      <cdr:y>0.51296</cdr:y>
    </cdr:from>
    <cdr:to>
      <cdr:x>0.32435</cdr:x>
      <cdr:y>0.5853</cdr:y>
    </cdr:to>
    <cdr:sp macro="" textlink="">
      <cdr:nvSpPr>
        <cdr:cNvPr id="100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2383403" y="1615620"/>
          <a:ext cx="343527" cy="22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0.59347</cdr:x>
      <cdr:y>0.51947</cdr:y>
    </cdr:from>
    <cdr:to>
      <cdr:x>0.63433</cdr:x>
      <cdr:y>0.59182</cdr:y>
    </cdr:to>
    <cdr:sp macro="" textlink="">
      <cdr:nvSpPr>
        <cdr:cNvPr id="101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4989504" y="1636119"/>
          <a:ext cx="343526" cy="22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0.82746</cdr:x>
      <cdr:y>0.5249</cdr:y>
    </cdr:from>
    <cdr:to>
      <cdr:x>0.86832</cdr:x>
      <cdr:y>0.59724</cdr:y>
    </cdr:to>
    <cdr:sp macro="" textlink="">
      <cdr:nvSpPr>
        <cdr:cNvPr id="102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6956802" y="1653211"/>
          <a:ext cx="343526" cy="22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0.077</cdr:x>
      <cdr:y>0.67618</cdr:y>
    </cdr:from>
    <cdr:to>
      <cdr:x>0.11786</cdr:x>
      <cdr:y>0.74852</cdr:y>
    </cdr:to>
    <cdr:sp macro="" textlink="">
      <cdr:nvSpPr>
        <cdr:cNvPr id="10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647404" y="2129689"/>
          <a:ext cx="343526" cy="22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0.28381</cdr:x>
      <cdr:y>0.67524</cdr:y>
    </cdr:from>
    <cdr:to>
      <cdr:x>0.32467</cdr:x>
      <cdr:y>0.74759</cdr:y>
    </cdr:to>
    <cdr:sp macro="" textlink="">
      <cdr:nvSpPr>
        <cdr:cNvPr id="104" name="Tekstvak 1">
          <a:extLst xmlns:a="http://schemas.openxmlformats.org/drawingml/2006/main">
            <a:ext uri="{FF2B5EF4-FFF2-40B4-BE49-F238E27FC236}">
              <a16:creationId xmlns:a16="http://schemas.microsoft.com/office/drawing/2014/main" id="{0EF7C3FE-E895-44B0-B1E9-45C286D6AE7A}"/>
            </a:ext>
          </a:extLst>
        </cdr:cNvPr>
        <cdr:cNvSpPr txBox="1"/>
      </cdr:nvSpPr>
      <cdr:spPr>
        <a:xfrm xmlns:a="http://schemas.openxmlformats.org/drawingml/2006/main">
          <a:off x="2386138" y="2126729"/>
          <a:ext cx="343526" cy="22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0.59168</cdr:x>
      <cdr:y>0.67452</cdr:y>
    </cdr:from>
    <cdr:to>
      <cdr:x>0.63254</cdr:x>
      <cdr:y>0.74686</cdr:y>
    </cdr:to>
    <cdr:sp macro="" textlink="">
      <cdr:nvSpPr>
        <cdr:cNvPr id="105" name="Tekstvak 1">
          <a:extLst xmlns:a="http://schemas.openxmlformats.org/drawingml/2006/main">
            <a:ext uri="{FF2B5EF4-FFF2-40B4-BE49-F238E27FC236}">
              <a16:creationId xmlns:a16="http://schemas.microsoft.com/office/drawing/2014/main" id="{0EF7C3FE-E895-44B0-B1E9-45C286D6AE7A}"/>
            </a:ext>
          </a:extLst>
        </cdr:cNvPr>
        <cdr:cNvSpPr txBox="1"/>
      </cdr:nvSpPr>
      <cdr:spPr>
        <a:xfrm xmlns:a="http://schemas.openxmlformats.org/drawingml/2006/main">
          <a:off x="4974515" y="2124454"/>
          <a:ext cx="343526" cy="22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0.82773</cdr:x>
      <cdr:y>0.67356</cdr:y>
    </cdr:from>
    <cdr:to>
      <cdr:x>0.86859</cdr:x>
      <cdr:y>0.7459</cdr:y>
    </cdr:to>
    <cdr:sp macro="" textlink="">
      <cdr:nvSpPr>
        <cdr:cNvPr id="106" name="Tekstvak 1">
          <a:extLst xmlns:a="http://schemas.openxmlformats.org/drawingml/2006/main">
            <a:ext uri="{FF2B5EF4-FFF2-40B4-BE49-F238E27FC236}">
              <a16:creationId xmlns:a16="http://schemas.microsoft.com/office/drawing/2014/main" id="{0EF7C3FE-E895-44B0-B1E9-45C286D6AE7A}"/>
            </a:ext>
          </a:extLst>
        </cdr:cNvPr>
        <cdr:cNvSpPr txBox="1"/>
      </cdr:nvSpPr>
      <cdr:spPr>
        <a:xfrm xmlns:a="http://schemas.openxmlformats.org/drawingml/2006/main">
          <a:off x="6959062" y="2121450"/>
          <a:ext cx="343526" cy="22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0.10058</cdr:x>
      <cdr:y>0.36223</cdr:y>
    </cdr:from>
    <cdr:to>
      <cdr:x>0.13646</cdr:x>
      <cdr:y>0.52964</cdr:y>
    </cdr:to>
    <cdr:sp macro="" textlink="">
      <cdr:nvSpPr>
        <cdr:cNvPr id="113" name="Rechthoek 112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 rot="16200000">
          <a:off x="642543" y="1223327"/>
          <a:ext cx="510266" cy="2717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0.61494</cdr:x>
      <cdr:y>0.3566</cdr:y>
    </cdr:from>
    <cdr:to>
      <cdr:x>0.65082</cdr:x>
      <cdr:y>0.52401</cdr:y>
    </cdr:to>
    <cdr:sp macro="" textlink="">
      <cdr:nvSpPr>
        <cdr:cNvPr id="114" name="Rechthoek 113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 rot="16200000">
          <a:off x="9791765" y="2638997"/>
          <a:ext cx="1114931" cy="5867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0.84887</cdr:x>
      <cdr:y>0.35774</cdr:y>
    </cdr:from>
    <cdr:to>
      <cdr:x>0.88475</cdr:x>
      <cdr:y>0.52515</cdr:y>
    </cdr:to>
    <cdr:sp macro="" textlink="">
      <cdr:nvSpPr>
        <cdr:cNvPr id="115" name="Rechthoek 114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 rot="16200000">
          <a:off x="13617005" y="2646616"/>
          <a:ext cx="1114931" cy="5867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0.29411</cdr:x>
      <cdr:y>0.63694</cdr:y>
    </cdr:from>
    <cdr:to>
      <cdr:x>0.35252</cdr:x>
      <cdr:y>0.7786</cdr:y>
    </cdr:to>
    <cdr:sp macro="" textlink="">
      <cdr:nvSpPr>
        <cdr:cNvPr id="116" name="Ovaal 115">
          <a:extLst xmlns:a="http://schemas.openxmlformats.org/drawingml/2006/main">
            <a:ext uri="{FF2B5EF4-FFF2-40B4-BE49-F238E27FC236}">
              <a16:creationId xmlns:a16="http://schemas.microsoft.com/office/drawing/2014/main" id="{4F88A61C-0F84-4553-8EAE-997C66EFD012}"/>
            </a:ext>
          </a:extLst>
        </cdr:cNvPr>
        <cdr:cNvSpPr/>
      </cdr:nvSpPr>
      <cdr:spPr>
        <a:xfrm xmlns:a="http://schemas.openxmlformats.org/drawingml/2006/main">
          <a:off x="2505587" y="2135523"/>
          <a:ext cx="497604" cy="47495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0.60329</cdr:x>
      <cdr:y>0.6415</cdr:y>
    </cdr:from>
    <cdr:to>
      <cdr:x>0.6617</cdr:x>
      <cdr:y>0.78316</cdr:y>
    </cdr:to>
    <cdr:sp macro="" textlink="">
      <cdr:nvSpPr>
        <cdr:cNvPr id="117" name="Ovaal 116">
          <a:extLst xmlns:a="http://schemas.openxmlformats.org/drawingml/2006/main">
            <a:ext uri="{FF2B5EF4-FFF2-40B4-BE49-F238E27FC236}">
              <a16:creationId xmlns:a16="http://schemas.microsoft.com/office/drawing/2014/main" id="{4F88A61C-0F84-4553-8EAE-997C66EFD012}"/>
            </a:ext>
          </a:extLst>
        </cdr:cNvPr>
        <cdr:cNvSpPr/>
      </cdr:nvSpPr>
      <cdr:spPr>
        <a:xfrm xmlns:a="http://schemas.openxmlformats.org/drawingml/2006/main">
          <a:off x="9865360" y="4272280"/>
          <a:ext cx="955105" cy="943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0.83768</cdr:x>
      <cdr:y>0.63692</cdr:y>
    </cdr:from>
    <cdr:to>
      <cdr:x>0.89609</cdr:x>
      <cdr:y>0.77858</cdr:y>
    </cdr:to>
    <cdr:sp macro="" textlink="">
      <cdr:nvSpPr>
        <cdr:cNvPr id="118" name="Ovaal 117">
          <a:extLst xmlns:a="http://schemas.openxmlformats.org/drawingml/2006/main">
            <a:ext uri="{FF2B5EF4-FFF2-40B4-BE49-F238E27FC236}">
              <a16:creationId xmlns:a16="http://schemas.microsoft.com/office/drawing/2014/main" id="{4F88A61C-0F84-4553-8EAE-997C66EFD012}"/>
            </a:ext>
          </a:extLst>
        </cdr:cNvPr>
        <cdr:cNvSpPr/>
      </cdr:nvSpPr>
      <cdr:spPr>
        <a:xfrm xmlns:a="http://schemas.openxmlformats.org/drawingml/2006/main">
          <a:off x="13698220" y="4241800"/>
          <a:ext cx="955105" cy="943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0.05072</cdr:x>
      <cdr:y>0.17613</cdr:y>
    </cdr:from>
    <cdr:to>
      <cdr:x>0.05082</cdr:x>
      <cdr:y>0.50909</cdr:y>
    </cdr:to>
    <cdr:cxnSp macro="">
      <cdr:nvCxnSpPr>
        <cdr:cNvPr id="123" name="Rechte verbindingslijn met pijl 122">
          <a:extLst xmlns:a="http://schemas.openxmlformats.org/drawingml/2006/main">
            <a:ext uri="{FF2B5EF4-FFF2-40B4-BE49-F238E27FC236}">
              <a16:creationId xmlns:a16="http://schemas.microsoft.com/office/drawing/2014/main" id="{1B351BBE-61E3-4082-B723-82AC0DD5DDCE}"/>
            </a:ext>
          </a:extLst>
        </cdr:cNvPr>
        <cdr:cNvCxnSpPr/>
      </cdr:nvCxnSpPr>
      <cdr:spPr>
        <a:xfrm xmlns:a="http://schemas.openxmlformats.org/drawingml/2006/main" flipV="1">
          <a:off x="426720" y="590529"/>
          <a:ext cx="802" cy="1116351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rgbClr val="E020D2"/>
          </a:solidFill>
          <a:prstDash val="lgDash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0.0487</cdr:x>
      <cdr:y>0.64718</cdr:y>
    </cdr:from>
    <cdr:to>
      <cdr:x>0.04878</cdr:x>
      <cdr:y>0.88864</cdr:y>
    </cdr:to>
    <cdr:cxnSp macro="">
      <cdr:nvCxnSpPr>
        <cdr:cNvPr id="133" name="Rechte verbindingslijn met pijl 132">
          <a:extLst xmlns:a="http://schemas.openxmlformats.org/drawingml/2006/main">
            <a:ext uri="{FF2B5EF4-FFF2-40B4-BE49-F238E27FC236}">
              <a16:creationId xmlns:a16="http://schemas.microsoft.com/office/drawing/2014/main" id="{7F8E9B72-AEF1-48CA-9843-90B8F700B02C}"/>
            </a:ext>
          </a:extLst>
        </cdr:cNvPr>
        <cdr:cNvCxnSpPr/>
      </cdr:nvCxnSpPr>
      <cdr:spPr>
        <a:xfrm xmlns:a="http://schemas.openxmlformats.org/drawingml/2006/main" flipV="1">
          <a:off x="405729" y="2038350"/>
          <a:ext cx="671" cy="760511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rgbClr val="E020D2"/>
          </a:solidFill>
          <a:prstDash val="lg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0.7957</cdr:x>
      <cdr:y>0.18667</cdr:y>
    </cdr:from>
    <cdr:to>
      <cdr:x>0.79671</cdr:x>
      <cdr:y>0.51566</cdr:y>
    </cdr:to>
    <cdr:cxnSp macro="">
      <cdr:nvCxnSpPr>
        <cdr:cNvPr id="61" name="Rechte verbindingslijn met pijl 60">
          <a:extLst xmlns:a="http://schemas.openxmlformats.org/drawingml/2006/main">
            <a:ext uri="{FF2B5EF4-FFF2-40B4-BE49-F238E27FC236}">
              <a16:creationId xmlns:a16="http://schemas.microsoft.com/office/drawing/2014/main" id="{0FE53429-1E06-44DC-AD58-8C302540725F}"/>
            </a:ext>
          </a:extLst>
        </cdr:cNvPr>
        <cdr:cNvCxnSpPr/>
      </cdr:nvCxnSpPr>
      <cdr:spPr>
        <a:xfrm xmlns:a="http://schemas.openxmlformats.org/drawingml/2006/main" flipH="1" flipV="1">
          <a:off x="7009099" y="590308"/>
          <a:ext cx="8921" cy="1040372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rgbClr val="E020D2"/>
          </a:solidFill>
          <a:prstDash val="lgDash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0.79785</cdr:x>
      <cdr:y>0.63508</cdr:y>
    </cdr:from>
    <cdr:to>
      <cdr:x>0.79848</cdr:x>
      <cdr:y>0.85025</cdr:y>
    </cdr:to>
    <cdr:cxnSp macro="">
      <cdr:nvCxnSpPr>
        <cdr:cNvPr id="62" name="Rechte verbindingslijn met pijl 61">
          <a:extLst xmlns:a="http://schemas.openxmlformats.org/drawingml/2006/main">
            <a:ext uri="{FF2B5EF4-FFF2-40B4-BE49-F238E27FC236}">
              <a16:creationId xmlns:a16="http://schemas.microsoft.com/office/drawing/2014/main" id="{CB4BACC4-CAD9-4282-87AB-3B9628D6EC3B}"/>
            </a:ext>
          </a:extLst>
        </cdr:cNvPr>
        <cdr:cNvCxnSpPr/>
      </cdr:nvCxnSpPr>
      <cdr:spPr>
        <a:xfrm xmlns:a="http://schemas.openxmlformats.org/drawingml/2006/main" flipH="1" flipV="1">
          <a:off x="6707807" y="2000250"/>
          <a:ext cx="5353" cy="677710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rgbClr val="E020D2"/>
          </a:solidFill>
          <a:prstDash val="lg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0.52218</cdr:x>
      <cdr:y>0.04</cdr:y>
    </cdr:from>
    <cdr:to>
      <cdr:x>0.622</cdr:x>
      <cdr:y>0.155</cdr:y>
    </cdr:to>
    <cdr:sp macro="" textlink="">
      <cdr:nvSpPr>
        <cdr:cNvPr id="8" name="Tekstvak 7">
          <a:extLst xmlns:a="http://schemas.openxmlformats.org/drawingml/2006/main">
            <a:ext uri="{FF2B5EF4-FFF2-40B4-BE49-F238E27FC236}">
              <a16:creationId xmlns:a16="http://schemas.microsoft.com/office/drawing/2014/main" id="{5BA5A766-B698-4F8E-91EA-55F09A04A144}"/>
            </a:ext>
          </a:extLst>
        </cdr:cNvPr>
        <cdr:cNvSpPr txBox="1"/>
      </cdr:nvSpPr>
      <cdr:spPr>
        <a:xfrm xmlns:a="http://schemas.openxmlformats.org/drawingml/2006/main">
          <a:off x="4305299" y="121920"/>
          <a:ext cx="822960" cy="35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0.11648</cdr:x>
      <cdr:y>0.14685</cdr:y>
    </cdr:from>
    <cdr:to>
      <cdr:x>0.11957</cdr:x>
      <cdr:y>0.91715</cdr:y>
    </cdr:to>
    <cdr:cxnSp macro="">
      <cdr:nvCxnSpPr>
        <cdr:cNvPr id="5" name="Rechte verbindingslijn 4">
          <a:extLst xmlns:a="http://schemas.openxmlformats.org/drawingml/2006/main">
            <a:ext uri="{FF2B5EF4-FFF2-40B4-BE49-F238E27FC236}">
              <a16:creationId xmlns:a16="http://schemas.microsoft.com/office/drawing/2014/main" id="{B555340F-42AF-4747-961E-46005D17C3D0}"/>
            </a:ext>
          </a:extLst>
        </cdr:cNvPr>
        <cdr:cNvCxnSpPr/>
      </cdr:nvCxnSpPr>
      <cdr:spPr>
        <a:xfrm xmlns:a="http://schemas.openxmlformats.org/drawingml/2006/main">
          <a:off x="1247017" y="959001"/>
          <a:ext cx="33143" cy="5030319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10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0.41069</cdr:x>
      <cdr:y>0.15379</cdr:y>
    </cdr:from>
    <cdr:to>
      <cdr:x>0.41133</cdr:x>
      <cdr:y>0.91942</cdr:y>
    </cdr:to>
    <cdr:cxnSp macro="">
      <cdr:nvCxnSpPr>
        <cdr:cNvPr id="18" name="Rechte verbindingslijn 17">
          <a:extLst xmlns:a="http://schemas.openxmlformats.org/drawingml/2006/main">
            <a:ext uri="{FF2B5EF4-FFF2-40B4-BE49-F238E27FC236}">
              <a16:creationId xmlns:a16="http://schemas.microsoft.com/office/drawing/2014/main" id="{0247733C-71D2-455C-9E03-837C3A1EE45A}"/>
            </a:ext>
          </a:extLst>
        </cdr:cNvPr>
        <cdr:cNvCxnSpPr/>
      </cdr:nvCxnSpPr>
      <cdr:spPr>
        <a:xfrm xmlns:a="http://schemas.openxmlformats.org/drawingml/2006/main">
          <a:off x="3420506" y="515636"/>
          <a:ext cx="5330" cy="256700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0.71821</cdr:x>
      <cdr:y>0.14769</cdr:y>
    </cdr:from>
    <cdr:to>
      <cdr:x>0.71867</cdr:x>
      <cdr:y>0.91136</cdr:y>
    </cdr:to>
    <cdr:cxnSp macro="">
      <cdr:nvCxnSpPr>
        <cdr:cNvPr id="24" name="Rechte verbindingslijn 23">
          <a:extLst xmlns:a="http://schemas.openxmlformats.org/drawingml/2006/main">
            <a:ext uri="{FF2B5EF4-FFF2-40B4-BE49-F238E27FC236}">
              <a16:creationId xmlns:a16="http://schemas.microsoft.com/office/drawing/2014/main" id="{FB6CA381-4C7A-4B68-89B9-EE018ED91EEB}"/>
            </a:ext>
          </a:extLst>
        </cdr:cNvPr>
        <cdr:cNvCxnSpPr/>
      </cdr:nvCxnSpPr>
      <cdr:spPr>
        <a:xfrm xmlns:a="http://schemas.openxmlformats.org/drawingml/2006/main" flipH="1">
          <a:off x="5981700" y="495166"/>
          <a:ext cx="3891" cy="2560454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0.11538</cdr:x>
      <cdr:y>0.14773</cdr:y>
    </cdr:from>
    <cdr:to>
      <cdr:x>0.71729</cdr:x>
      <cdr:y>0.15099</cdr:y>
    </cdr:to>
    <cdr:cxnSp macro="">
      <cdr:nvCxnSpPr>
        <cdr:cNvPr id="27" name="Rechte verbindingslijn 26">
          <a:extLst xmlns:a="http://schemas.openxmlformats.org/drawingml/2006/main">
            <a:ext uri="{FF2B5EF4-FFF2-40B4-BE49-F238E27FC236}">
              <a16:creationId xmlns:a16="http://schemas.microsoft.com/office/drawing/2014/main" id="{B7C6D536-5A8F-49AD-90CE-025468238976}"/>
            </a:ext>
          </a:extLst>
        </cdr:cNvPr>
        <cdr:cNvCxnSpPr/>
      </cdr:nvCxnSpPr>
      <cdr:spPr>
        <a:xfrm xmlns:a="http://schemas.openxmlformats.org/drawingml/2006/main" flipV="1">
          <a:off x="960964" y="495300"/>
          <a:ext cx="5013116" cy="1093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0.11815</cdr:x>
      <cdr:y>0.90682</cdr:y>
    </cdr:from>
    <cdr:to>
      <cdr:x>0.71912</cdr:x>
      <cdr:y>0.91249</cdr:y>
    </cdr:to>
    <cdr:cxnSp macro="">
      <cdr:nvCxnSpPr>
        <cdr:cNvPr id="32" name="Rechte verbindingslijn 31">
          <a:extLst xmlns:a="http://schemas.openxmlformats.org/drawingml/2006/main">
            <a:ext uri="{FF2B5EF4-FFF2-40B4-BE49-F238E27FC236}">
              <a16:creationId xmlns:a16="http://schemas.microsoft.com/office/drawing/2014/main" id="{B2424C12-9D01-4CA8-991E-70EC83BD4867}"/>
            </a:ext>
          </a:extLst>
        </cdr:cNvPr>
        <cdr:cNvCxnSpPr/>
      </cdr:nvCxnSpPr>
      <cdr:spPr>
        <a:xfrm xmlns:a="http://schemas.openxmlformats.org/drawingml/2006/main" flipV="1">
          <a:off x="984031" y="3040380"/>
          <a:ext cx="5005289" cy="1901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0.12994</cdr:x>
      <cdr:y>0.73707</cdr:y>
    </cdr:from>
    <cdr:to>
      <cdr:x>0.1708</cdr:x>
      <cdr:y>0.80941</cdr:y>
    </cdr:to>
    <cdr:sp macro="" textlink="">
      <cdr:nvSpPr>
        <cdr:cNvPr id="6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1437640" y="4813300"/>
          <a:ext cx="452120" cy="472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sz="2800"/>
        </a:p>
      </cdr:txBody>
    </cdr:sp>
  </cdr:relSizeAnchor>
  <cdr:relSizeAnchor xmlns:cdr="http://schemas.openxmlformats.org/drawingml/2006/chartDrawing">
    <cdr:from>
      <cdr:x>0.09344</cdr:x>
      <cdr:y>0.43164</cdr:y>
    </cdr:from>
    <cdr:to>
      <cdr:x>0.15184</cdr:x>
      <cdr:y>0.5733</cdr:y>
    </cdr:to>
    <cdr:sp macro="" textlink="">
      <cdr:nvSpPr>
        <cdr:cNvPr id="69" name="Ovaal 7">
          <a:extLst xmlns:a="http://schemas.openxmlformats.org/drawingml/2006/main">
            <a:ext uri="{FF2B5EF4-FFF2-40B4-BE49-F238E27FC236}">
              <a16:creationId xmlns:a16="http://schemas.microsoft.com/office/drawing/2014/main" id="{7ABDB62A-B0AC-4FB1-9B9B-3C5F9450CF42}"/>
            </a:ext>
          </a:extLst>
        </cdr:cNvPr>
        <cdr:cNvSpPr/>
      </cdr:nvSpPr>
      <cdr:spPr>
        <a:xfrm xmlns:a="http://schemas.openxmlformats.org/drawingml/2006/main">
          <a:off x="778227" y="1447200"/>
          <a:ext cx="486394" cy="47495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71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0.24468</cdr:x>
      <cdr:y>0.11285</cdr:y>
    </cdr:from>
    <cdr:to>
      <cdr:x>0.31851</cdr:x>
      <cdr:y>0.2073</cdr:y>
    </cdr:to>
    <cdr:sp macro="" textlink="">
      <cdr:nvSpPr>
        <cdr:cNvPr id="84" name="Rechthoek 37">
          <a:extLst xmlns:a="http://schemas.openxmlformats.org/drawingml/2006/main">
            <a:ext uri="{FF2B5EF4-FFF2-40B4-BE49-F238E27FC236}">
              <a16:creationId xmlns:a16="http://schemas.microsoft.com/office/drawing/2014/main" id="{98591B34-B357-4557-8D78-8EAD7A768AEE}"/>
            </a:ext>
          </a:extLst>
        </cdr:cNvPr>
        <cdr:cNvSpPr/>
      </cdr:nvSpPr>
      <cdr:spPr>
        <a:xfrm xmlns:a="http://schemas.openxmlformats.org/drawingml/2006/main" rot="10800000">
          <a:off x="2037846" y="378376"/>
          <a:ext cx="614905" cy="31667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0.07319</cdr:x>
      <cdr:y>0.30682</cdr:y>
    </cdr:from>
    <cdr:to>
      <cdr:x>0.12162</cdr:x>
      <cdr:y>0.37829</cdr:y>
    </cdr:to>
    <cdr:sp macro="" textlink="">
      <cdr:nvSpPr>
        <cdr:cNvPr id="99" name="Tekstvak 1">
          <a:extLst xmlns:a="http://schemas.openxmlformats.org/drawingml/2006/main">
            <a:ext uri="{FF2B5EF4-FFF2-40B4-BE49-F238E27FC236}">
              <a16:creationId xmlns:a16="http://schemas.microsoft.com/office/drawing/2014/main" id="{1951F564-B3F7-4865-A29F-BA48F3B008B3}"/>
            </a:ext>
          </a:extLst>
        </cdr:cNvPr>
        <cdr:cNvSpPr txBox="1"/>
      </cdr:nvSpPr>
      <cdr:spPr>
        <a:xfrm xmlns:a="http://schemas.openxmlformats.org/drawingml/2006/main">
          <a:off x="609600" y="1028700"/>
          <a:ext cx="403319" cy="239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0.71862</cdr:x>
      <cdr:y>0.55114</cdr:y>
    </cdr:from>
    <cdr:to>
      <cdr:x>0.75948</cdr:x>
      <cdr:y>0.62348</cdr:y>
    </cdr:to>
    <cdr:sp macro="" textlink="">
      <cdr:nvSpPr>
        <cdr:cNvPr id="102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5985183" y="1847856"/>
          <a:ext cx="340309" cy="2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0.07649</cdr:x>
      <cdr:y>0.49157</cdr:y>
    </cdr:from>
    <cdr:to>
      <cdr:x>0.11735</cdr:x>
      <cdr:y>0.56391</cdr:y>
    </cdr:to>
    <cdr:sp macro="" textlink="">
      <cdr:nvSpPr>
        <cdr:cNvPr id="10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637093" y="1648148"/>
          <a:ext cx="340309" cy="2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0.71826</cdr:x>
      <cdr:y>0.28188</cdr:y>
    </cdr:from>
    <cdr:to>
      <cdr:x>0.75912</cdr:x>
      <cdr:y>0.35422</cdr:y>
    </cdr:to>
    <cdr:sp macro="" textlink="">
      <cdr:nvSpPr>
        <cdr:cNvPr id="106" name="Tekstvak 1">
          <a:extLst xmlns:a="http://schemas.openxmlformats.org/drawingml/2006/main">
            <a:ext uri="{FF2B5EF4-FFF2-40B4-BE49-F238E27FC236}">
              <a16:creationId xmlns:a16="http://schemas.microsoft.com/office/drawing/2014/main" id="{0EF7C3FE-E895-44B0-B1E9-45C286D6AE7A}"/>
            </a:ext>
          </a:extLst>
        </cdr:cNvPr>
        <cdr:cNvSpPr txBox="1"/>
      </cdr:nvSpPr>
      <cdr:spPr>
        <a:xfrm xmlns:a="http://schemas.openxmlformats.org/drawingml/2006/main">
          <a:off x="5982145" y="945096"/>
          <a:ext cx="340310" cy="2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0.39353</cdr:x>
      <cdr:y>0.40205</cdr:y>
    </cdr:from>
    <cdr:to>
      <cdr:x>0.42941</cdr:x>
      <cdr:y>0.56946</cdr:y>
    </cdr:to>
    <cdr:sp macro="" textlink="">
      <cdr:nvSpPr>
        <cdr:cNvPr id="114" name="Rechthoek 113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 rot="16200000">
          <a:off x="3146356" y="1479238"/>
          <a:ext cx="561293" cy="2988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0.5193</cdr:x>
      <cdr:y>0.11052</cdr:y>
    </cdr:from>
    <cdr:to>
      <cdr:x>0.58669</cdr:x>
      <cdr:y>0.19965</cdr:y>
    </cdr:to>
    <cdr:sp macro="" textlink="">
      <cdr:nvSpPr>
        <cdr:cNvPr id="115" name="Rechthoek 114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>
          <a:off x="4325060" y="370541"/>
          <a:ext cx="561292" cy="2988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0.68946</cdr:x>
      <cdr:y>0.45056</cdr:y>
    </cdr:from>
    <cdr:to>
      <cdr:x>0.74787</cdr:x>
      <cdr:y>0.59222</cdr:y>
    </cdr:to>
    <cdr:sp macro="" textlink="">
      <cdr:nvSpPr>
        <cdr:cNvPr id="118" name="Ovaal 117">
          <a:extLst xmlns:a="http://schemas.openxmlformats.org/drawingml/2006/main">
            <a:ext uri="{FF2B5EF4-FFF2-40B4-BE49-F238E27FC236}">
              <a16:creationId xmlns:a16="http://schemas.microsoft.com/office/drawing/2014/main" id="{4F88A61C-0F84-4553-8EAE-997C66EFD012}"/>
            </a:ext>
          </a:extLst>
        </cdr:cNvPr>
        <cdr:cNvSpPr/>
      </cdr:nvSpPr>
      <cdr:spPr>
        <a:xfrm xmlns:a="http://schemas.openxmlformats.org/drawingml/2006/main">
          <a:off x="5742312" y="1510625"/>
          <a:ext cx="486477" cy="47495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0.52218</cdr:x>
      <cdr:y>0.04</cdr:y>
    </cdr:from>
    <cdr:to>
      <cdr:x>0.622</cdr:x>
      <cdr:y>0.155</cdr:y>
    </cdr:to>
    <cdr:sp macro="" textlink="">
      <cdr:nvSpPr>
        <cdr:cNvPr id="8" name="Tekstvak 7">
          <a:extLst xmlns:a="http://schemas.openxmlformats.org/drawingml/2006/main">
            <a:ext uri="{FF2B5EF4-FFF2-40B4-BE49-F238E27FC236}">
              <a16:creationId xmlns:a16="http://schemas.microsoft.com/office/drawing/2014/main" id="{5BA5A766-B698-4F8E-91EA-55F09A04A144}"/>
            </a:ext>
          </a:extLst>
        </cdr:cNvPr>
        <cdr:cNvSpPr txBox="1"/>
      </cdr:nvSpPr>
      <cdr:spPr>
        <a:xfrm xmlns:a="http://schemas.openxmlformats.org/drawingml/2006/main">
          <a:off x="4305299" y="121920"/>
          <a:ext cx="822960" cy="35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0.16011</cdr:x>
      <cdr:y>0.47045</cdr:y>
    </cdr:from>
    <cdr:to>
      <cdr:x>0.25892</cdr:x>
      <cdr:y>0.63636</cdr:y>
    </cdr:to>
    <cdr:sp macro="" textlink="">
      <cdr:nvSpPr>
        <cdr:cNvPr id="13" name="Tekstvak 12">
          <a:extLst xmlns:a="http://schemas.openxmlformats.org/drawingml/2006/main">
            <a:ext uri="{FF2B5EF4-FFF2-40B4-BE49-F238E27FC236}">
              <a16:creationId xmlns:a16="http://schemas.microsoft.com/office/drawing/2014/main" id="{ACBDEBE5-D91E-4E94-BDA9-63D1B93D9BBE}"/>
            </a:ext>
          </a:extLst>
        </cdr:cNvPr>
        <cdr:cNvSpPr txBox="1"/>
      </cdr:nvSpPr>
      <cdr:spPr>
        <a:xfrm xmlns:a="http://schemas.openxmlformats.org/drawingml/2006/main">
          <a:off x="1333500" y="1577340"/>
          <a:ext cx="822960" cy="556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600" b="1"/>
            <a:t>100 V</a:t>
          </a:r>
        </a:p>
      </cdr:txBody>
    </cdr:sp>
  </cdr:relSizeAnchor>
  <cdr:relSizeAnchor xmlns:cdr="http://schemas.openxmlformats.org/drawingml/2006/chartDrawing">
    <cdr:from>
      <cdr:x>0.75816</cdr:x>
      <cdr:y>0.4697</cdr:y>
    </cdr:from>
    <cdr:to>
      <cdr:x>0.85697</cdr:x>
      <cdr:y>0.63561</cdr:y>
    </cdr:to>
    <cdr:sp macro="" textlink="">
      <cdr:nvSpPr>
        <cdr:cNvPr id="46" name="Tekstvak 1">
          <a:extLst xmlns:a="http://schemas.openxmlformats.org/drawingml/2006/main">
            <a:ext uri="{FF2B5EF4-FFF2-40B4-BE49-F238E27FC236}">
              <a16:creationId xmlns:a16="http://schemas.microsoft.com/office/drawing/2014/main" id="{2A6946D1-975B-43C7-AEBB-F61BC4C6FB95}"/>
            </a:ext>
          </a:extLst>
        </cdr:cNvPr>
        <cdr:cNvSpPr txBox="1"/>
      </cdr:nvSpPr>
      <cdr:spPr>
        <a:xfrm xmlns:a="http://schemas.openxmlformats.org/drawingml/2006/main">
          <a:off x="6314440" y="1574800"/>
          <a:ext cx="822960" cy="556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600" b="1" baseline="0"/>
            <a:t>6</a:t>
          </a:r>
          <a:r>
            <a:rPr lang="nl-NL" sz="1600" b="1"/>
            <a:t>0 V</a:t>
          </a:r>
        </a:p>
      </cdr:txBody>
    </cdr:sp>
  </cdr:relSizeAnchor>
  <cdr:relSizeAnchor xmlns:cdr="http://schemas.openxmlformats.org/drawingml/2006/chartDrawing">
    <cdr:from>
      <cdr:x>0.23757</cdr:x>
      <cdr:y>0.21288</cdr:y>
    </cdr:from>
    <cdr:to>
      <cdr:x>0.33638</cdr:x>
      <cdr:y>0.37879</cdr:y>
    </cdr:to>
    <cdr:sp macro="" textlink="">
      <cdr:nvSpPr>
        <cdr:cNvPr id="47" name="Tekstvak 1">
          <a:extLst xmlns:a="http://schemas.openxmlformats.org/drawingml/2006/main">
            <a:ext uri="{FF2B5EF4-FFF2-40B4-BE49-F238E27FC236}">
              <a16:creationId xmlns:a16="http://schemas.microsoft.com/office/drawing/2014/main" id="{647E6DB4-9725-4A51-A496-91E90D179129}"/>
            </a:ext>
          </a:extLst>
        </cdr:cNvPr>
        <cdr:cNvSpPr txBox="1"/>
      </cdr:nvSpPr>
      <cdr:spPr>
        <a:xfrm xmlns:a="http://schemas.openxmlformats.org/drawingml/2006/main">
          <a:off x="1978660" y="713740"/>
          <a:ext cx="822960" cy="556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600" b="1"/>
            <a:t>10</a:t>
          </a:r>
          <a:r>
            <a:rPr lang="nl-NL" sz="1600" b="1" baseline="0"/>
            <a:t> </a:t>
          </a:r>
          <a:r>
            <a:rPr lang="el-GR" sz="1600" b="1" baseline="0">
              <a:latin typeface="Calibri" panose="020F0502020204030204" pitchFamily="34" charset="0"/>
              <a:cs typeface="Calibri" panose="020F0502020204030204" pitchFamily="34" charset="0"/>
            </a:rPr>
            <a:t>Ω</a:t>
          </a:r>
          <a:endParaRPr lang="nl-NL" sz="1600" b="1"/>
        </a:p>
      </cdr:txBody>
    </cdr:sp>
  </cdr:relSizeAnchor>
  <cdr:relSizeAnchor xmlns:cdr="http://schemas.openxmlformats.org/drawingml/2006/chartDrawing">
    <cdr:from>
      <cdr:x>0.51754</cdr:x>
      <cdr:y>0.20379</cdr:y>
    </cdr:from>
    <cdr:to>
      <cdr:x>0.61635</cdr:x>
      <cdr:y>0.3697</cdr:y>
    </cdr:to>
    <cdr:sp macro="" textlink="">
      <cdr:nvSpPr>
        <cdr:cNvPr id="49" name="Tekstvak 1">
          <a:extLst xmlns:a="http://schemas.openxmlformats.org/drawingml/2006/main">
            <a:ext uri="{FF2B5EF4-FFF2-40B4-BE49-F238E27FC236}">
              <a16:creationId xmlns:a16="http://schemas.microsoft.com/office/drawing/2014/main" id="{ED16B7E7-6D35-4497-98AB-0DD7F4AED386}"/>
            </a:ext>
          </a:extLst>
        </cdr:cNvPr>
        <cdr:cNvSpPr txBox="1"/>
      </cdr:nvSpPr>
      <cdr:spPr>
        <a:xfrm xmlns:a="http://schemas.openxmlformats.org/drawingml/2006/main">
          <a:off x="4310380" y="683260"/>
          <a:ext cx="822960" cy="556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600" b="1" baseline="0"/>
            <a:t>20 </a:t>
          </a:r>
          <a:r>
            <a:rPr lang="el-GR" sz="1600" b="1" baseline="0">
              <a:latin typeface="Calibri" panose="020F0502020204030204" pitchFamily="34" charset="0"/>
              <a:cs typeface="Calibri" panose="020F0502020204030204" pitchFamily="34" charset="0"/>
            </a:rPr>
            <a:t>Ω</a:t>
          </a:r>
          <a:endParaRPr lang="nl-NL" sz="1600" b="1"/>
        </a:p>
      </cdr:txBody>
    </cdr:sp>
  </cdr:relSizeAnchor>
  <cdr:relSizeAnchor xmlns:cdr="http://schemas.openxmlformats.org/drawingml/2006/chartDrawing">
    <cdr:from>
      <cdr:x>0.43245</cdr:x>
      <cdr:y>0.43333</cdr:y>
    </cdr:from>
    <cdr:to>
      <cdr:x>0.53126</cdr:x>
      <cdr:y>0.59924</cdr:y>
    </cdr:to>
    <cdr:sp macro="" textlink="">
      <cdr:nvSpPr>
        <cdr:cNvPr id="50" name="Tekstvak 1">
          <a:extLst xmlns:a="http://schemas.openxmlformats.org/drawingml/2006/main">
            <a:ext uri="{FF2B5EF4-FFF2-40B4-BE49-F238E27FC236}">
              <a16:creationId xmlns:a16="http://schemas.microsoft.com/office/drawing/2014/main" id="{ED16B7E7-6D35-4497-98AB-0DD7F4AED386}"/>
            </a:ext>
          </a:extLst>
        </cdr:cNvPr>
        <cdr:cNvSpPr txBox="1"/>
      </cdr:nvSpPr>
      <cdr:spPr>
        <a:xfrm xmlns:a="http://schemas.openxmlformats.org/drawingml/2006/main">
          <a:off x="3601720" y="1452880"/>
          <a:ext cx="822960" cy="556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600" b="1" baseline="0"/>
            <a:t>5 </a:t>
          </a:r>
          <a:r>
            <a:rPr lang="el-GR" sz="1600" b="1" baseline="0">
              <a:latin typeface="Calibri" panose="020F0502020204030204" pitchFamily="34" charset="0"/>
              <a:cs typeface="Calibri" panose="020F0502020204030204" pitchFamily="34" charset="0"/>
            </a:rPr>
            <a:t>Ω</a:t>
          </a:r>
          <a:endParaRPr lang="nl-NL" sz="1600" b="1"/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8600-4EB8-465E-903B-2CA3748EF5E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0"/>
  <sheetViews>
    <sheetView showGridLines="0" showRowColHeaders="0" tabSelected="1" showRuler="0" zoomScaleNormal="100" zoomScaleSheetLayoutView="100" workbookViewId="0">
      <selection activeCell="AE14" sqref="AE14"/>
    </sheetView>
  </sheetViews>
  <sheetFormatPr defaultRowHeight="14.4" x14ac:dyDescent="0.3"/>
  <cols>
    <col min="1" max="1" width="7.77734375" customWidth="1"/>
    <col min="2" max="2" width="11.6640625" customWidth="1"/>
    <col min="3" max="3" width="7.77734375" customWidth="1"/>
    <col min="4" max="4" width="15.5546875" style="1" customWidth="1"/>
    <col min="5" max="5" width="23.77734375" style="1" hidden="1" customWidth="1"/>
    <col min="6" max="6" width="21" hidden="1" customWidth="1"/>
    <col min="7" max="7" width="32.33203125" hidden="1" customWidth="1"/>
    <col min="8" max="8" width="31.21875" hidden="1" customWidth="1"/>
    <col min="9" max="9" width="9.77734375" hidden="1" customWidth="1"/>
    <col min="10" max="10" width="27" hidden="1" customWidth="1"/>
    <col min="11" max="11" width="8.88671875" hidden="1" customWidth="1"/>
    <col min="12" max="12" width="4.21875" customWidth="1"/>
    <col min="13" max="13" width="6" customWidth="1"/>
    <col min="14" max="14" width="7.5546875" customWidth="1"/>
    <col min="15" max="15" width="11.88671875" customWidth="1"/>
    <col min="16" max="16" width="14.5546875" customWidth="1"/>
    <col min="17" max="17" width="12.77734375" customWidth="1"/>
    <col min="18" max="18" width="16" customWidth="1"/>
    <col min="19" max="19" width="5.5546875" customWidth="1"/>
    <col min="20" max="20" width="11.88671875" customWidth="1"/>
    <col min="21" max="21" width="10" hidden="1" customWidth="1"/>
    <col min="22" max="28" width="8.88671875" hidden="1" customWidth="1"/>
    <col min="29" max="29" width="8.88671875" customWidth="1"/>
  </cols>
  <sheetData>
    <row r="1" spans="1:36" ht="43.8" x14ac:dyDescent="0.8">
      <c r="B1" s="78" t="s">
        <v>114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idden="1" x14ac:dyDescent="0.3"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idden="1" x14ac:dyDescent="0.3"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28.8" hidden="1" x14ac:dyDescent="0.55000000000000004">
      <c r="B4" s="4"/>
      <c r="C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3"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3">
      <c r="A6" s="97"/>
      <c r="B6" s="105"/>
      <c r="C6" s="105"/>
      <c r="D6" s="99"/>
      <c r="E6" s="99"/>
      <c r="F6" s="105"/>
      <c r="G6" s="105"/>
      <c r="H6" s="105"/>
      <c r="I6" s="105"/>
      <c r="J6" s="105"/>
      <c r="K6" s="105"/>
      <c r="L6" s="105"/>
      <c r="M6" s="98" t="str">
        <f>CONCATENATE("I5 = ",U162," A")</f>
        <v>I5 = 103,03 A</v>
      </c>
      <c r="N6" s="126"/>
      <c r="P6" s="105"/>
      <c r="Q6" s="102"/>
      <c r="R6" s="102"/>
      <c r="S6" s="102"/>
      <c r="T6" s="10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x14ac:dyDescent="0.3">
      <c r="A7" s="97"/>
      <c r="B7" s="105"/>
      <c r="C7" s="105"/>
      <c r="D7" s="99"/>
      <c r="E7" s="99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2"/>
      <c r="R7" s="102"/>
      <c r="S7" s="102"/>
      <c r="T7" s="10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3">
      <c r="A8" s="97"/>
      <c r="B8" s="105"/>
      <c r="C8" s="105"/>
      <c r="D8" s="99"/>
      <c r="E8" s="99"/>
      <c r="F8" s="105"/>
      <c r="G8" s="105"/>
      <c r="H8" s="105"/>
      <c r="I8" s="105"/>
      <c r="J8" s="105"/>
      <c r="K8" s="105"/>
      <c r="L8" s="105"/>
      <c r="M8" s="105"/>
      <c r="N8" s="105"/>
      <c r="P8" s="99"/>
      <c r="Q8" s="102"/>
      <c r="R8" s="102"/>
      <c r="S8" s="102"/>
      <c r="T8" s="10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x14ac:dyDescent="0.3">
      <c r="A9" s="97"/>
      <c r="B9" s="105"/>
      <c r="C9" s="105"/>
      <c r="D9" s="99"/>
      <c r="E9" s="99"/>
      <c r="F9" s="105"/>
      <c r="G9" s="105"/>
      <c r="H9" s="105"/>
      <c r="I9" s="105"/>
      <c r="J9" s="105"/>
      <c r="K9" s="105"/>
      <c r="L9" s="105"/>
      <c r="M9" s="105"/>
      <c r="N9" s="105"/>
      <c r="O9" s="105" t="str">
        <f>CONCATENATE("R5 = ",W35,AD10)</f>
        <v>R5 = 10 Ω</v>
      </c>
      <c r="P9" s="100"/>
      <c r="Q9" s="102"/>
      <c r="R9" s="102"/>
      <c r="S9" s="102"/>
      <c r="T9" s="10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3">
      <c r="A10" s="97"/>
      <c r="B10" s="105"/>
      <c r="C10" s="126" t="str">
        <f>CONCATENATE("I1 = ",U139," A")</f>
        <v>I1 = -76,78 A</v>
      </c>
      <c r="D10" s="98"/>
      <c r="E10" s="98"/>
      <c r="F10" s="126"/>
      <c r="G10" s="126"/>
      <c r="H10" s="126"/>
      <c r="I10" s="126"/>
      <c r="J10" s="126"/>
      <c r="K10" s="126"/>
      <c r="L10" s="126"/>
      <c r="M10" s="126" t="str">
        <f>CONCATENATE("I2 = ",U145," A")</f>
        <v>I2 = 179,81 A</v>
      </c>
      <c r="N10" s="98"/>
      <c r="O10" s="100" t="str">
        <f>CONCATENATE("PR5 = ",U35," W")</f>
        <v>PR5 = 106142,6 W</v>
      </c>
      <c r="Q10" s="126" t="str">
        <f>CONCATENATE("I3 = ",U151," A")</f>
        <v>I3 = -84,35 A</v>
      </c>
      <c r="R10" s="101"/>
      <c r="S10" s="101" t="str">
        <f>CONCATENATE("I4 = ",U157," A")</f>
        <v>I4 = -18,68 A</v>
      </c>
      <c r="T10" s="101"/>
      <c r="U10" s="2"/>
      <c r="V10" s="2"/>
      <c r="W10" s="2"/>
      <c r="X10" s="2"/>
      <c r="Y10" s="2"/>
      <c r="Z10" s="2"/>
      <c r="AA10" s="2"/>
      <c r="AB10" s="2"/>
      <c r="AC10" s="2"/>
      <c r="AD10" s="125" t="s">
        <v>116</v>
      </c>
      <c r="AE10" s="2"/>
      <c r="AF10" s="2"/>
      <c r="AG10" s="2"/>
      <c r="AH10" s="2"/>
      <c r="AI10" s="2"/>
      <c r="AJ10" s="2"/>
    </row>
    <row r="11" spans="1:36" x14ac:dyDescent="0.3">
      <c r="A11" s="97"/>
      <c r="B11" s="105"/>
      <c r="C11" s="105"/>
      <c r="D11" s="99"/>
      <c r="E11" s="99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Q11" s="105"/>
      <c r="R11" s="102"/>
      <c r="S11" s="102"/>
      <c r="T11" s="10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3">
      <c r="A12" s="97"/>
      <c r="B12" s="105"/>
      <c r="C12" s="105" t="str">
        <f>CONCATENATE("R1 = ",W31,AD10)</f>
        <v>R1 = 44,33 Ω</v>
      </c>
      <c r="D12" s="99"/>
      <c r="E12" s="99"/>
      <c r="F12" s="105"/>
      <c r="G12" s="105"/>
      <c r="H12" s="105"/>
      <c r="I12" s="105"/>
      <c r="J12" s="105"/>
      <c r="K12" s="105"/>
      <c r="L12" s="105"/>
      <c r="M12" s="105" t="str">
        <f>CONCATENATE("R2 = ",W32,AD10)</f>
        <v>R2 = 20 Ω</v>
      </c>
      <c r="N12" s="99"/>
      <c r="O12" s="105"/>
      <c r="Q12" s="105" t="str">
        <f>CONCATENATE("R3 = ",W33,AD10)</f>
        <v>R3 = 10,36 Ω</v>
      </c>
      <c r="R12" s="102"/>
      <c r="S12" s="105" t="str">
        <f>CONCATENATE("R4 = ",W34,AD10)</f>
        <v>R4 = 20 Ω</v>
      </c>
      <c r="T12" s="10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x14ac:dyDescent="0.3">
      <c r="A13" s="97"/>
      <c r="B13" s="105"/>
      <c r="C13" s="100" t="str">
        <f>CONCATENATE("PR1 = ",U31," W")</f>
        <v>PR1 = 261357,3 W</v>
      </c>
      <c r="D13" s="103"/>
      <c r="E13" s="103"/>
      <c r="F13" s="100"/>
      <c r="G13" s="100"/>
      <c r="H13" s="100"/>
      <c r="I13" s="100"/>
      <c r="J13" s="100"/>
      <c r="K13" s="100"/>
      <c r="L13" s="100"/>
      <c r="M13" s="100" t="str">
        <f>CONCATENATE("PR2 = ",U32," W")</f>
        <v>PR2 = 646626,6 W</v>
      </c>
      <c r="N13" s="100"/>
      <c r="O13" s="105"/>
      <c r="Q13" s="100" t="str">
        <f>CONCATENATE("PR3 = ",U33," W")</f>
        <v>PR3 = 73682,7 W</v>
      </c>
      <c r="R13" s="104"/>
      <c r="S13" s="104" t="str">
        <f>CONCATENATE("PR4 = ",U34," W")</f>
        <v>PR4 = 6977,4 W</v>
      </c>
      <c r="T13" s="10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3">
      <c r="A14" s="97"/>
      <c r="B14" s="105"/>
      <c r="C14" s="105"/>
      <c r="D14" s="99"/>
      <c r="E14" s="99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Q14" s="105"/>
      <c r="R14" s="102"/>
      <c r="S14" s="102"/>
      <c r="T14" s="102"/>
      <c r="U14" s="81"/>
      <c r="V14" s="81"/>
      <c r="W14" s="81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x14ac:dyDescent="0.3">
      <c r="A15" s="106" t="str">
        <f>CONCATENATE("Ua = ",U130," V")</f>
        <v>Ua = 4403,82 V</v>
      </c>
      <c r="B15" s="106"/>
      <c r="C15" s="105"/>
      <c r="D15" s="99"/>
      <c r="E15" s="99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R15" s="107" t="str">
        <f>CONCATENATE("Ub = ",U131," V")</f>
        <v>Ub = 3373,56 V</v>
      </c>
      <c r="S15" s="102"/>
      <c r="T15" s="10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3">
      <c r="A16" s="97"/>
      <c r="B16" s="105"/>
      <c r="C16" s="105"/>
      <c r="D16" s="99"/>
      <c r="E16" s="99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Q16" s="105"/>
      <c r="R16" s="102"/>
      <c r="S16" s="102"/>
      <c r="T16" s="10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x14ac:dyDescent="0.3">
      <c r="A17" s="97"/>
      <c r="B17" s="105"/>
      <c r="C17" s="105"/>
      <c r="D17" s="99"/>
      <c r="E17" s="99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Q17" s="105"/>
      <c r="R17" s="102"/>
      <c r="S17" s="102"/>
      <c r="T17" s="10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3">
      <c r="A18" s="97"/>
      <c r="B18" s="105"/>
      <c r="C18" s="105" t="str">
        <f>CONCATENATE("U1 = ",W123," V")</f>
        <v>U1 = 1000 V</v>
      </c>
      <c r="D18" s="99"/>
      <c r="E18" s="99"/>
      <c r="F18" s="105"/>
      <c r="G18" s="105"/>
      <c r="H18" s="105"/>
      <c r="I18" s="105"/>
      <c r="J18" s="105"/>
      <c r="K18" s="105"/>
      <c r="L18" s="105"/>
      <c r="M18" s="105" t="str">
        <f>CONCATENATE("U2 = ",W124," V")</f>
        <v>U2 = 8000 V</v>
      </c>
      <c r="N18" s="105"/>
      <c r="O18" s="105"/>
      <c r="Q18" s="105" t="str">
        <f>CONCATENATE("U3 = ",W125," V")</f>
        <v>U3 = 2500 V</v>
      </c>
      <c r="R18" s="102"/>
      <c r="S18" s="102" t="str">
        <f>CONCATENATE("U4 = ",W126," V")</f>
        <v>U4 = 3000 V</v>
      </c>
      <c r="T18" s="10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3">
      <c r="A19" s="97"/>
      <c r="B19" s="105"/>
      <c r="C19" s="100" t="str">
        <f>CONCATENATE("PU1 = ",U123," W")</f>
        <v>PU1 = 76783,6 W</v>
      </c>
      <c r="D19" s="103"/>
      <c r="E19" s="103"/>
      <c r="F19" s="100"/>
      <c r="G19" s="100"/>
      <c r="H19" s="100"/>
      <c r="I19" s="100"/>
      <c r="J19" s="100"/>
      <c r="K19" s="100"/>
      <c r="L19" s="100"/>
      <c r="M19" s="100" t="str">
        <f>CONCATENATE("PU2 = ",U124," W")</f>
        <v>PU2 = -1438473,2 W</v>
      </c>
      <c r="N19" s="103"/>
      <c r="O19" s="105"/>
      <c r="Q19" s="100" t="str">
        <f>CONCATENATE("PU3 = ",U125," W")</f>
        <v>PU3 = 210868,7 W</v>
      </c>
      <c r="R19" s="104"/>
      <c r="S19" s="104" t="str">
        <f>CONCATENATE("PU4 = ",U126," W")</f>
        <v>PU4 = 56034,2 W</v>
      </c>
      <c r="T19" s="10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3">
      <c r="A20" s="95"/>
      <c r="B20" s="95"/>
      <c r="C20" s="95"/>
      <c r="D20" s="96"/>
      <c r="E20" s="96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3"/>
      <c r="R20" s="3"/>
      <c r="S20" s="3"/>
      <c r="T20" s="3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3"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x14ac:dyDescent="0.3"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idden="1" x14ac:dyDescent="0.3"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idden="1" x14ac:dyDescent="0.3"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idden="1" x14ac:dyDescent="0.3"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idden="1" x14ac:dyDescent="0.3">
      <c r="B26" s="6"/>
      <c r="C26" s="6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4.4" customHeight="1" x14ac:dyDescent="0.3">
      <c r="B27" s="5"/>
      <c r="C27" s="5"/>
      <c r="Q27" s="127" t="s">
        <v>107</v>
      </c>
      <c r="R27" s="127"/>
      <c r="S27" s="12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4.4" customHeight="1" x14ac:dyDescent="0.3">
      <c r="B28" s="5"/>
      <c r="C28" s="5"/>
      <c r="Q28" s="127"/>
      <c r="R28" s="127"/>
      <c r="S28" s="12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s="2" customFormat="1" ht="25.8" x14ac:dyDescent="0.5">
      <c r="B29" s="8" t="s">
        <v>108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P29" s="18" t="s">
        <v>69</v>
      </c>
      <c r="R29" s="132"/>
      <c r="S29" s="90" t="s">
        <v>109</v>
      </c>
      <c r="T29" s="90" t="s">
        <v>106</v>
      </c>
    </row>
    <row r="30" spans="1:36" s="2" customFormat="1" ht="25.8" x14ac:dyDescent="0.5">
      <c r="B30" s="49"/>
      <c r="C30" s="65"/>
      <c r="D30" s="50" t="s">
        <v>77</v>
      </c>
      <c r="E30" s="63"/>
      <c r="F30" s="63"/>
      <c r="G30" s="64"/>
      <c r="H30" s="64"/>
      <c r="I30" s="65"/>
      <c r="J30" s="50" t="s">
        <v>78</v>
      </c>
      <c r="M30" s="9"/>
      <c r="P30" s="55" t="s">
        <v>111</v>
      </c>
      <c r="Q30" s="133"/>
      <c r="S30" s="84">
        <v>2</v>
      </c>
      <c r="T30" s="84">
        <v>1</v>
      </c>
    </row>
    <row r="31" spans="1:36" ht="28.8" x14ac:dyDescent="0.55000000000000004">
      <c r="B31" s="108" t="s">
        <v>95</v>
      </c>
      <c r="C31" s="109"/>
      <c r="D31" s="110">
        <v>44.33</v>
      </c>
      <c r="E31" s="70"/>
      <c r="F31" s="71"/>
      <c r="G31" s="72"/>
      <c r="H31" s="72"/>
      <c r="I31" s="73" t="s">
        <v>83</v>
      </c>
      <c r="J31" s="74">
        <v>0</v>
      </c>
      <c r="M31" s="15"/>
      <c r="O31" s="45" t="s">
        <v>98</v>
      </c>
      <c r="P31" s="137">
        <f>P139*P139*D31</f>
        <v>261357.32334946064</v>
      </c>
      <c r="Q31" s="138"/>
      <c r="R31" s="2"/>
      <c r="S31" s="2"/>
      <c r="T31" s="2"/>
      <c r="U31" s="83">
        <f>ROUND(P31,T30)</f>
        <v>261357.3</v>
      </c>
      <c r="V31" s="2"/>
      <c r="W31" s="83">
        <f>ROUND(D31,S30)</f>
        <v>44.33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28.8" x14ac:dyDescent="0.55000000000000004">
      <c r="B32" s="111" t="s">
        <v>79</v>
      </c>
      <c r="C32" s="44"/>
      <c r="D32" s="112">
        <v>20</v>
      </c>
      <c r="E32" s="59"/>
      <c r="F32" s="60"/>
      <c r="G32" s="61"/>
      <c r="H32" s="61"/>
      <c r="I32" s="43" t="s">
        <v>84</v>
      </c>
      <c r="J32" s="51">
        <v>0</v>
      </c>
      <c r="M32" s="15"/>
      <c r="O32" s="45" t="s">
        <v>98</v>
      </c>
      <c r="P32" s="129">
        <f>P145*P145*D32</f>
        <v>646626.60981661745</v>
      </c>
      <c r="Q32" s="134"/>
      <c r="R32" s="2"/>
      <c r="S32" s="2"/>
      <c r="T32" s="2"/>
      <c r="U32" s="83">
        <f>ROUND(P32,T30)</f>
        <v>646626.6</v>
      </c>
      <c r="V32" s="2"/>
      <c r="W32" s="83">
        <f>ROUND(D32,S30)</f>
        <v>20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 ht="28.8" x14ac:dyDescent="0.55000000000000004">
      <c r="B33" s="111" t="s">
        <v>80</v>
      </c>
      <c r="C33" s="44"/>
      <c r="D33" s="112">
        <v>10.3567</v>
      </c>
      <c r="E33" s="59"/>
      <c r="F33" s="60"/>
      <c r="G33" s="61"/>
      <c r="H33" s="61"/>
      <c r="I33" s="43" t="s">
        <v>85</v>
      </c>
      <c r="J33" s="51">
        <v>0</v>
      </c>
      <c r="M33" s="15"/>
      <c r="O33" s="45" t="s">
        <v>98</v>
      </c>
      <c r="P33" s="129">
        <f>P151*P151*D33</f>
        <v>73682.706630474946</v>
      </c>
      <c r="Q33" s="134"/>
      <c r="R33" s="2"/>
      <c r="S33" s="2"/>
      <c r="T33" s="2"/>
      <c r="U33" s="83">
        <f>ROUND(P33,T30)</f>
        <v>73682.7</v>
      </c>
      <c r="V33" s="2"/>
      <c r="W33" s="83">
        <f>ROUND(D33,S30)</f>
        <v>10.36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 ht="28.8" x14ac:dyDescent="0.55000000000000004">
      <c r="B34" s="111" t="s">
        <v>81</v>
      </c>
      <c r="C34" s="44"/>
      <c r="D34" s="112">
        <v>20</v>
      </c>
      <c r="E34" s="59"/>
      <c r="F34" s="60"/>
      <c r="G34" s="62"/>
      <c r="H34" s="62"/>
      <c r="I34" s="43" t="s">
        <v>86</v>
      </c>
      <c r="J34" s="51">
        <v>0</v>
      </c>
      <c r="M34" s="15"/>
      <c r="O34" s="45" t="s">
        <v>98</v>
      </c>
      <c r="P34" s="129">
        <f>P157*P157*D34</f>
        <v>6977.4095746534022</v>
      </c>
      <c r="Q34" s="134"/>
      <c r="R34" s="2"/>
      <c r="S34" s="2"/>
      <c r="T34" s="2"/>
      <c r="U34" s="83">
        <f>ROUND(P34,T30)</f>
        <v>6977.4</v>
      </c>
      <c r="V34" s="2"/>
      <c r="W34" s="83">
        <f>ROUND(D34,S30)</f>
        <v>20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 ht="28.8" x14ac:dyDescent="0.55000000000000004">
      <c r="B35" s="113" t="s">
        <v>82</v>
      </c>
      <c r="C35" s="114"/>
      <c r="D35" s="115">
        <v>10</v>
      </c>
      <c r="E35" s="66"/>
      <c r="F35" s="67"/>
      <c r="G35" s="68"/>
      <c r="H35" s="68"/>
      <c r="I35" s="69" t="s">
        <v>87</v>
      </c>
      <c r="J35" s="52">
        <v>0</v>
      </c>
      <c r="K35" s="15"/>
      <c r="L35" s="15"/>
      <c r="M35" s="15"/>
      <c r="N35" s="15"/>
      <c r="O35" s="45" t="s">
        <v>98</v>
      </c>
      <c r="P35" s="135">
        <f>P163*P163*D35</f>
        <v>106142.63952823931</v>
      </c>
      <c r="Q35" s="136"/>
      <c r="R35" s="2"/>
      <c r="S35" s="2"/>
      <c r="T35" s="2"/>
      <c r="U35" s="83">
        <f>ROUND(P35,T30)</f>
        <v>106142.6</v>
      </c>
      <c r="V35" s="2"/>
      <c r="W35" s="83">
        <f>ROUND(D35,S30)</f>
        <v>10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 ht="25.8" hidden="1" x14ac:dyDescent="0.5">
      <c r="E36" s="13"/>
      <c r="F36" s="14"/>
      <c r="G36" s="14"/>
      <c r="H36" s="14"/>
      <c r="I36" s="15"/>
      <c r="J36" s="15"/>
      <c r="K36" s="15"/>
      <c r="L36" s="15"/>
      <c r="M36" s="15"/>
      <c r="N36" s="15"/>
      <c r="O36" s="46"/>
      <c r="P36" s="116"/>
      <c r="Q36" s="2"/>
      <c r="R36" s="2"/>
      <c r="S36" s="2"/>
      <c r="T36" s="2"/>
      <c r="U36" s="83">
        <f t="shared" ref="U36:U95" si="0">ROUND(P36,0)</f>
        <v>0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 ht="25.8" hidden="1" x14ac:dyDescent="0.5">
      <c r="E37" s="13"/>
      <c r="F37" s="15"/>
      <c r="G37" s="15"/>
      <c r="H37" s="15"/>
      <c r="I37" s="15"/>
      <c r="J37" s="15"/>
      <c r="K37" s="15"/>
      <c r="L37" s="15"/>
      <c r="M37" s="15"/>
      <c r="N37" s="15"/>
      <c r="O37" s="46"/>
      <c r="P37" s="116"/>
      <c r="Q37" s="2"/>
      <c r="R37" s="2"/>
      <c r="S37" s="2"/>
      <c r="T37" s="2"/>
      <c r="U37" s="83">
        <f t="shared" si="0"/>
        <v>0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 ht="25.8" hidden="1" x14ac:dyDescent="0.5">
      <c r="E38" s="13"/>
      <c r="F38" s="15"/>
      <c r="G38" s="15"/>
      <c r="H38" s="15"/>
      <c r="I38" s="15"/>
      <c r="J38" s="15"/>
      <c r="K38" s="15"/>
      <c r="L38" s="15"/>
      <c r="M38" s="15"/>
      <c r="N38" s="15"/>
      <c r="O38" s="46"/>
      <c r="P38" s="116"/>
      <c r="Q38" s="2"/>
      <c r="R38" s="2"/>
      <c r="S38" s="2"/>
      <c r="T38" s="2"/>
      <c r="U38" s="83">
        <f t="shared" si="0"/>
        <v>0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 ht="25.8" hidden="1" x14ac:dyDescent="0.5">
      <c r="E39" s="13"/>
      <c r="F39" s="15"/>
      <c r="G39" s="15"/>
      <c r="H39" s="15"/>
      <c r="I39" s="15"/>
      <c r="J39" s="15"/>
      <c r="K39" s="15"/>
      <c r="L39" s="15"/>
      <c r="M39" s="15"/>
      <c r="N39" s="15"/>
      <c r="O39" s="46"/>
      <c r="P39" s="116"/>
      <c r="Q39" s="2"/>
      <c r="R39" s="2"/>
      <c r="S39" s="2"/>
      <c r="T39" s="2"/>
      <c r="U39" s="83">
        <f t="shared" si="0"/>
        <v>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 ht="25.8" hidden="1" x14ac:dyDescent="0.5">
      <c r="E40" s="13"/>
      <c r="F40" s="15"/>
      <c r="G40" s="15"/>
      <c r="H40" s="15"/>
      <c r="I40" s="15"/>
      <c r="J40" s="15"/>
      <c r="K40" s="15"/>
      <c r="L40" s="15"/>
      <c r="M40" s="15"/>
      <c r="N40" s="15"/>
      <c r="O40" s="46"/>
      <c r="P40" s="116"/>
      <c r="Q40" s="2"/>
      <c r="R40" s="2"/>
      <c r="S40" s="2"/>
      <c r="T40" s="2"/>
      <c r="U40" s="83">
        <f t="shared" si="0"/>
        <v>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 s="2" customFormat="1" ht="25.8" hidden="1" x14ac:dyDescent="0.5">
      <c r="B41" s="11"/>
      <c r="C41" s="11"/>
      <c r="E41" s="44" t="s">
        <v>71</v>
      </c>
      <c r="F41" s="9"/>
      <c r="G41" s="9"/>
      <c r="H41" s="9"/>
      <c r="I41" s="9"/>
      <c r="J41" s="9"/>
      <c r="K41" s="9"/>
      <c r="L41" s="9"/>
      <c r="M41" s="9"/>
      <c r="N41" s="9"/>
      <c r="O41" s="47"/>
      <c r="P41" s="117"/>
      <c r="U41" s="83">
        <f t="shared" si="0"/>
        <v>0</v>
      </c>
    </row>
    <row r="42" spans="2:36" s="2" customFormat="1" ht="25.8" hidden="1" x14ac:dyDescent="0.5">
      <c r="E42" s="17">
        <v>0</v>
      </c>
      <c r="F42" s="9"/>
      <c r="G42" s="9"/>
      <c r="H42" s="9"/>
      <c r="I42" s="9"/>
      <c r="J42" s="9"/>
      <c r="K42" s="9"/>
      <c r="L42" s="9"/>
      <c r="M42" s="9"/>
      <c r="N42" s="9"/>
      <c r="O42" s="47"/>
      <c r="P42" s="117"/>
      <c r="U42" s="83">
        <f t="shared" si="0"/>
        <v>0</v>
      </c>
    </row>
    <row r="43" spans="2:36" s="2" customFormat="1" ht="25.8" hidden="1" x14ac:dyDescent="0.5">
      <c r="E43" s="17">
        <v>0</v>
      </c>
      <c r="F43" s="9"/>
      <c r="G43" s="9"/>
      <c r="H43" s="9"/>
      <c r="I43" s="9"/>
      <c r="J43" s="9"/>
      <c r="K43" s="9"/>
      <c r="L43" s="9"/>
      <c r="M43" s="9"/>
      <c r="N43" s="9"/>
      <c r="O43" s="47"/>
      <c r="P43" s="117"/>
      <c r="U43" s="83">
        <f t="shared" si="0"/>
        <v>0</v>
      </c>
    </row>
    <row r="44" spans="2:36" s="2" customFormat="1" ht="25.8" hidden="1" x14ac:dyDescent="0.5">
      <c r="E44" s="17">
        <v>0</v>
      </c>
      <c r="F44" s="9"/>
      <c r="G44" s="9"/>
      <c r="H44" s="9"/>
      <c r="I44" s="9"/>
      <c r="J44" s="9"/>
      <c r="K44" s="9"/>
      <c r="L44" s="9"/>
      <c r="M44" s="9"/>
      <c r="N44" s="9"/>
      <c r="O44" s="47"/>
      <c r="P44" s="117"/>
      <c r="U44" s="83">
        <f t="shared" si="0"/>
        <v>0</v>
      </c>
    </row>
    <row r="45" spans="2:36" s="2" customFormat="1" ht="25.8" hidden="1" x14ac:dyDescent="0.5">
      <c r="E45" s="17">
        <v>0</v>
      </c>
      <c r="F45" s="9"/>
      <c r="G45" s="9"/>
      <c r="H45" s="9"/>
      <c r="I45" s="9"/>
      <c r="J45" s="9"/>
      <c r="K45" s="9"/>
      <c r="L45" s="9"/>
      <c r="M45" s="9"/>
      <c r="N45" s="9"/>
      <c r="O45" s="47"/>
      <c r="P45" s="117"/>
      <c r="U45" s="83">
        <f t="shared" si="0"/>
        <v>0</v>
      </c>
    </row>
    <row r="46" spans="2:36" s="2" customFormat="1" ht="25.8" hidden="1" x14ac:dyDescent="0.5">
      <c r="B46" s="16"/>
      <c r="C46" s="16"/>
      <c r="D46" s="12"/>
      <c r="E46" s="17"/>
      <c r="F46" s="9"/>
      <c r="G46" s="9"/>
      <c r="H46" s="9"/>
      <c r="I46" s="9"/>
      <c r="J46" s="9"/>
      <c r="K46" s="9"/>
      <c r="L46" s="9"/>
      <c r="M46" s="9"/>
      <c r="N46" s="9"/>
      <c r="O46" s="47"/>
      <c r="P46" s="117"/>
      <c r="U46" s="83">
        <f t="shared" si="0"/>
        <v>0</v>
      </c>
    </row>
    <row r="47" spans="2:36" s="2" customFormat="1" ht="25.8" hidden="1" x14ac:dyDescent="0.5">
      <c r="D47" s="19"/>
      <c r="E47" s="20"/>
      <c r="F47" s="9"/>
      <c r="G47" s="9"/>
      <c r="H47" s="9"/>
      <c r="I47" s="9"/>
      <c r="J47" s="9"/>
      <c r="K47" s="9"/>
      <c r="L47" s="9"/>
      <c r="M47" s="9"/>
      <c r="N47" s="9"/>
      <c r="O47" s="47"/>
      <c r="P47" s="117"/>
      <c r="U47" s="83">
        <f t="shared" si="0"/>
        <v>0</v>
      </c>
    </row>
    <row r="48" spans="2:36" s="2" customFormat="1" ht="25.8" hidden="1" x14ac:dyDescent="0.5">
      <c r="B48" s="21" t="s">
        <v>16</v>
      </c>
      <c r="C48" s="21"/>
      <c r="D48" s="22" t="s">
        <v>11</v>
      </c>
      <c r="E48" s="23" t="s">
        <v>12</v>
      </c>
      <c r="F48" s="24" t="s">
        <v>15</v>
      </c>
      <c r="G48" s="9"/>
      <c r="H48" s="9"/>
      <c r="I48" s="9"/>
      <c r="J48" s="9"/>
      <c r="K48" s="9"/>
      <c r="L48" s="9"/>
      <c r="M48" s="9"/>
      <c r="N48" s="9"/>
      <c r="O48" s="47"/>
      <c r="P48" s="117"/>
      <c r="U48" s="83">
        <f t="shared" si="0"/>
        <v>0</v>
      </c>
    </row>
    <row r="49" spans="2:21" s="2" customFormat="1" ht="25.8" hidden="1" x14ac:dyDescent="0.5">
      <c r="B49" s="25">
        <f>E42/(180/3.14)</f>
        <v>0</v>
      </c>
      <c r="C49" s="25"/>
      <c r="D49" s="25">
        <f>COS(B49)</f>
        <v>1</v>
      </c>
      <c r="E49" s="26">
        <f>SIN(B49)</f>
        <v>0</v>
      </c>
      <c r="F49" s="25" t="str">
        <f>COMPLEX((D123*D49),(D123*E49))</f>
        <v>1000</v>
      </c>
      <c r="G49" s="9"/>
      <c r="H49" s="9"/>
      <c r="I49" s="9"/>
      <c r="J49" s="9"/>
      <c r="K49" s="9"/>
      <c r="L49" s="9"/>
      <c r="M49" s="9"/>
      <c r="N49" s="9"/>
      <c r="O49" s="47"/>
      <c r="P49" s="117"/>
      <c r="U49" s="83">
        <f t="shared" si="0"/>
        <v>0</v>
      </c>
    </row>
    <row r="50" spans="2:21" s="3" customFormat="1" ht="25.8" hidden="1" x14ac:dyDescent="0.5">
      <c r="B50" s="25">
        <f>E43/(180/3.14)</f>
        <v>0</v>
      </c>
      <c r="C50" s="25"/>
      <c r="D50" s="25">
        <f>COS(B50)</f>
        <v>1</v>
      </c>
      <c r="E50" s="26">
        <f>SIN(B50)</f>
        <v>0</v>
      </c>
      <c r="F50" s="25" t="str">
        <f>COMPLEX((D124*D50),(D124*E50))</f>
        <v>8000</v>
      </c>
      <c r="G50" s="27"/>
      <c r="H50" s="27"/>
      <c r="I50" s="27"/>
      <c r="J50" s="27"/>
      <c r="K50" s="27"/>
      <c r="L50" s="27"/>
      <c r="M50" s="27"/>
      <c r="N50" s="27"/>
      <c r="O50" s="48"/>
      <c r="P50" s="118"/>
      <c r="U50" s="83">
        <f t="shared" si="0"/>
        <v>0</v>
      </c>
    </row>
    <row r="51" spans="2:21" s="3" customFormat="1" ht="25.8" hidden="1" x14ac:dyDescent="0.5">
      <c r="B51" s="25">
        <f>E44/(180/3.14)</f>
        <v>0</v>
      </c>
      <c r="C51" s="25"/>
      <c r="D51" s="25">
        <f>COS(B51)</f>
        <v>1</v>
      </c>
      <c r="E51" s="26">
        <f>SIN(B51)</f>
        <v>0</v>
      </c>
      <c r="F51" s="25" t="str">
        <f>COMPLEX((D125*D51),(D125*E51))</f>
        <v>2500</v>
      </c>
      <c r="G51" s="27"/>
      <c r="H51" s="27"/>
      <c r="I51" s="27"/>
      <c r="J51" s="27"/>
      <c r="K51" s="27"/>
      <c r="L51" s="27"/>
      <c r="M51" s="27"/>
      <c r="N51" s="27"/>
      <c r="O51" s="48"/>
      <c r="P51" s="118"/>
      <c r="U51" s="83">
        <f t="shared" si="0"/>
        <v>0</v>
      </c>
    </row>
    <row r="52" spans="2:21" s="2" customFormat="1" ht="25.8" hidden="1" x14ac:dyDescent="0.5">
      <c r="B52" s="25">
        <f>E45/(180/3.14)</f>
        <v>0</v>
      </c>
      <c r="C52" s="25"/>
      <c r="D52" s="25">
        <f>COS(B52)</f>
        <v>1</v>
      </c>
      <c r="E52" s="26">
        <f>SIN(B52)</f>
        <v>0</v>
      </c>
      <c r="F52" s="25" t="str">
        <f>COMPLEX((D126*D52),(D126*E52))</f>
        <v>3000</v>
      </c>
      <c r="G52" s="9"/>
      <c r="H52" s="9"/>
      <c r="I52" s="9"/>
      <c r="J52" s="9"/>
      <c r="K52" s="9"/>
      <c r="L52" s="9"/>
      <c r="M52" s="9"/>
      <c r="N52" s="9"/>
      <c r="O52" s="47"/>
      <c r="P52" s="117"/>
      <c r="U52" s="83">
        <f t="shared" si="0"/>
        <v>0</v>
      </c>
    </row>
    <row r="53" spans="2:21" s="2" customFormat="1" ht="25.8" hidden="1" x14ac:dyDescent="0.5">
      <c r="B53" s="9"/>
      <c r="C53" s="9"/>
      <c r="D53" s="9"/>
      <c r="E53" s="28"/>
      <c r="F53" s="9"/>
      <c r="G53" s="9"/>
      <c r="H53" s="9"/>
      <c r="I53" s="9"/>
      <c r="J53" s="9"/>
      <c r="K53" s="9"/>
      <c r="L53" s="9"/>
      <c r="M53" s="9"/>
      <c r="N53" s="9"/>
      <c r="O53" s="47"/>
      <c r="P53" s="117"/>
      <c r="U53" s="83">
        <f t="shared" si="0"/>
        <v>0</v>
      </c>
    </row>
    <row r="54" spans="2:21" s="2" customFormat="1" ht="25.8" hidden="1" x14ac:dyDescent="0.5">
      <c r="B54" s="9"/>
      <c r="C54" s="9"/>
      <c r="D54" s="9"/>
      <c r="E54" s="28"/>
      <c r="F54" s="9"/>
      <c r="G54" s="9"/>
      <c r="H54" s="9"/>
      <c r="I54" s="9"/>
      <c r="J54" s="9"/>
      <c r="K54" s="9"/>
      <c r="L54" s="9"/>
      <c r="M54" s="9"/>
      <c r="N54" s="9"/>
      <c r="O54" s="47"/>
      <c r="P54" s="117"/>
      <c r="U54" s="83">
        <f t="shared" si="0"/>
        <v>0</v>
      </c>
    </row>
    <row r="55" spans="2:21" s="2" customFormat="1" ht="25.8" hidden="1" x14ac:dyDescent="0.5">
      <c r="B55" s="29"/>
      <c r="C55" s="29"/>
      <c r="D55" s="10" t="s">
        <v>14</v>
      </c>
      <c r="E55" s="30"/>
      <c r="F55" s="9"/>
      <c r="G55" s="9"/>
      <c r="H55" s="9"/>
      <c r="I55" s="9"/>
      <c r="J55" s="9"/>
      <c r="K55" s="9"/>
      <c r="L55" s="9"/>
      <c r="M55" s="9"/>
      <c r="N55" s="9"/>
      <c r="O55" s="47"/>
      <c r="P55" s="117"/>
      <c r="U55" s="83">
        <f t="shared" si="0"/>
        <v>0</v>
      </c>
    </row>
    <row r="56" spans="2:21" s="2" customFormat="1" ht="25.8" hidden="1" x14ac:dyDescent="0.5">
      <c r="B56" s="29" t="s">
        <v>0</v>
      </c>
      <c r="C56" s="29"/>
      <c r="D56" s="9" t="str">
        <f>COMPLEX(0,0)</f>
        <v>0</v>
      </c>
      <c r="E56" s="28"/>
      <c r="F56" s="9"/>
      <c r="G56" s="9"/>
      <c r="H56" s="9"/>
      <c r="I56" s="9"/>
      <c r="J56" s="9"/>
      <c r="K56" s="9"/>
      <c r="L56" s="9"/>
      <c r="M56" s="9"/>
      <c r="N56" s="9"/>
      <c r="O56" s="47"/>
      <c r="P56" s="117"/>
      <c r="U56" s="83">
        <f t="shared" si="0"/>
        <v>0</v>
      </c>
    </row>
    <row r="57" spans="2:21" s="2" customFormat="1" ht="25.8" hidden="1" x14ac:dyDescent="0.5">
      <c r="B57" s="29" t="s">
        <v>49</v>
      </c>
      <c r="C57" s="29"/>
      <c r="D57" s="25" t="str">
        <f>COMPLEX(1,0)</f>
        <v>1</v>
      </c>
      <c r="E57" s="28"/>
      <c r="F57" s="9"/>
      <c r="G57" s="9"/>
      <c r="H57" s="9"/>
      <c r="I57" s="9"/>
      <c r="J57" s="9"/>
      <c r="K57" s="9"/>
      <c r="L57" s="9"/>
      <c r="M57" s="9"/>
      <c r="N57" s="9"/>
      <c r="O57" s="47"/>
      <c r="P57" s="117"/>
      <c r="U57" s="83">
        <f t="shared" si="0"/>
        <v>0</v>
      </c>
    </row>
    <row r="58" spans="2:21" s="2" customFormat="1" ht="25.8" hidden="1" x14ac:dyDescent="0.5">
      <c r="B58" s="29">
        <v>-1</v>
      </c>
      <c r="C58" s="29"/>
      <c r="D58" s="25" t="str">
        <f>COMPLEX(-1,0)</f>
        <v>-1</v>
      </c>
      <c r="E58" s="28"/>
      <c r="F58" s="9"/>
      <c r="G58" s="9"/>
      <c r="H58" s="9"/>
      <c r="I58" s="9"/>
      <c r="J58" s="9"/>
      <c r="K58" s="9"/>
      <c r="L58" s="9"/>
      <c r="M58" s="9"/>
      <c r="N58" s="9"/>
      <c r="O58" s="47"/>
      <c r="P58" s="117"/>
      <c r="U58" s="83">
        <f t="shared" si="0"/>
        <v>0</v>
      </c>
    </row>
    <row r="59" spans="2:21" s="2" customFormat="1" ht="25.8" hidden="1" x14ac:dyDescent="0.5">
      <c r="B59" s="29" t="s">
        <v>1</v>
      </c>
      <c r="C59" s="29"/>
      <c r="D59" s="31" t="str">
        <f>COMPLEX(D31,J31)</f>
        <v>44,33</v>
      </c>
      <c r="E59" s="28"/>
      <c r="F59" s="27"/>
      <c r="G59" s="27"/>
      <c r="H59" s="27"/>
      <c r="I59" s="27"/>
      <c r="J59" s="9"/>
      <c r="K59" s="9"/>
      <c r="L59" s="9"/>
      <c r="M59" s="9"/>
      <c r="N59" s="9"/>
      <c r="O59" s="47"/>
      <c r="P59" s="117"/>
      <c r="U59" s="83">
        <f t="shared" si="0"/>
        <v>0</v>
      </c>
    </row>
    <row r="60" spans="2:21" s="2" customFormat="1" ht="25.8" hidden="1" x14ac:dyDescent="0.5">
      <c r="B60" s="29" t="s">
        <v>2</v>
      </c>
      <c r="C60" s="29"/>
      <c r="D60" s="31" t="str">
        <f>COMPLEX(D32,J32)</f>
        <v>20</v>
      </c>
      <c r="E60" s="28"/>
      <c r="F60" s="27"/>
      <c r="G60" s="27"/>
      <c r="H60" s="27"/>
      <c r="I60" s="27"/>
      <c r="J60" s="9"/>
      <c r="K60" s="9"/>
      <c r="L60" s="9"/>
      <c r="M60" s="9"/>
      <c r="N60" s="9"/>
      <c r="O60" s="47"/>
      <c r="P60" s="117"/>
      <c r="U60" s="83">
        <f t="shared" si="0"/>
        <v>0</v>
      </c>
    </row>
    <row r="61" spans="2:21" s="3" customFormat="1" ht="25.8" hidden="1" x14ac:dyDescent="0.5">
      <c r="B61" s="29" t="s">
        <v>8</v>
      </c>
      <c r="C61" s="29"/>
      <c r="D61" s="31" t="str">
        <f>COMPLEX(-D32,-J32)</f>
        <v>-20</v>
      </c>
      <c r="E61" s="28"/>
      <c r="F61" s="27"/>
      <c r="G61" s="27"/>
      <c r="H61" s="27"/>
      <c r="I61" s="27"/>
      <c r="J61" s="27"/>
      <c r="K61" s="27"/>
      <c r="L61" s="27"/>
      <c r="M61" s="27"/>
      <c r="N61" s="27"/>
      <c r="O61" s="48"/>
      <c r="P61" s="118"/>
      <c r="U61" s="83">
        <f t="shared" si="0"/>
        <v>0</v>
      </c>
    </row>
    <row r="62" spans="2:21" s="3" customFormat="1" ht="25.8" hidden="1" x14ac:dyDescent="0.5">
      <c r="B62" s="29" t="s">
        <v>3</v>
      </c>
      <c r="C62" s="29"/>
      <c r="D62" s="31" t="str">
        <f>COMPLEX(D33,J33)</f>
        <v>10,3567</v>
      </c>
      <c r="E62" s="28"/>
      <c r="F62" s="27"/>
      <c r="G62" s="27"/>
      <c r="H62" s="27"/>
      <c r="I62" s="27"/>
      <c r="J62" s="27"/>
      <c r="K62" s="27"/>
      <c r="L62" s="27"/>
      <c r="M62" s="27"/>
      <c r="N62" s="27"/>
      <c r="O62" s="48"/>
      <c r="P62" s="118"/>
      <c r="U62" s="83">
        <f t="shared" si="0"/>
        <v>0</v>
      </c>
    </row>
    <row r="63" spans="2:21" s="3" customFormat="1" ht="25.8" hidden="1" x14ac:dyDescent="0.5">
      <c r="B63" s="29" t="s">
        <v>17</v>
      </c>
      <c r="C63" s="29"/>
      <c r="D63" s="31" t="str">
        <f>COMPLEX(D34,J34)</f>
        <v>20</v>
      </c>
      <c r="E63" s="28"/>
      <c r="F63" s="27"/>
      <c r="G63" s="27"/>
      <c r="H63" s="27"/>
      <c r="I63" s="27"/>
      <c r="J63" s="27"/>
      <c r="K63" s="27"/>
      <c r="L63" s="27"/>
      <c r="M63" s="27"/>
      <c r="N63" s="27"/>
      <c r="O63" s="48"/>
      <c r="P63" s="118"/>
      <c r="U63" s="83">
        <f t="shared" si="0"/>
        <v>0</v>
      </c>
    </row>
    <row r="64" spans="2:21" s="3" customFormat="1" ht="25.8" hidden="1" x14ac:dyDescent="0.5">
      <c r="B64" s="29" t="s">
        <v>18</v>
      </c>
      <c r="C64" s="29"/>
      <c r="D64" s="31" t="str">
        <f>COMPLEX(-D34,-J34)</f>
        <v>-20</v>
      </c>
      <c r="E64" s="28"/>
      <c r="F64" s="27"/>
      <c r="G64" s="27"/>
      <c r="H64" s="27"/>
      <c r="I64" s="27"/>
      <c r="J64" s="27"/>
      <c r="K64" s="27"/>
      <c r="L64" s="27"/>
      <c r="M64" s="27"/>
      <c r="N64" s="27"/>
      <c r="O64" s="48"/>
      <c r="P64" s="118"/>
      <c r="U64" s="83">
        <f t="shared" si="0"/>
        <v>0</v>
      </c>
    </row>
    <row r="65" spans="2:21" s="3" customFormat="1" ht="25.8" hidden="1" x14ac:dyDescent="0.5">
      <c r="B65" s="29" t="s">
        <v>19</v>
      </c>
      <c r="C65" s="29"/>
      <c r="D65" s="31" t="str">
        <f>COMPLEX(D35,J35)</f>
        <v>10</v>
      </c>
      <c r="E65" s="28"/>
      <c r="F65" s="27"/>
      <c r="G65" s="27"/>
      <c r="H65" s="27"/>
      <c r="I65" s="27"/>
      <c r="J65" s="27"/>
      <c r="K65" s="27"/>
      <c r="L65" s="27"/>
      <c r="M65" s="27"/>
      <c r="N65" s="27"/>
      <c r="O65" s="48"/>
      <c r="P65" s="118"/>
      <c r="U65" s="83">
        <f t="shared" si="0"/>
        <v>0</v>
      </c>
    </row>
    <row r="66" spans="2:21" s="3" customFormat="1" ht="25.8" hidden="1" x14ac:dyDescent="0.5">
      <c r="B66" s="29" t="s">
        <v>20</v>
      </c>
      <c r="C66" s="29"/>
      <c r="D66" s="31" t="str">
        <f>COMPLEX(-D35,-J35)</f>
        <v>-10</v>
      </c>
      <c r="E66" s="28"/>
      <c r="F66" s="27"/>
      <c r="G66" s="27"/>
      <c r="H66" s="27"/>
      <c r="I66" s="27"/>
      <c r="J66" s="27"/>
      <c r="K66" s="27"/>
      <c r="L66" s="27"/>
      <c r="M66" s="27"/>
      <c r="N66" s="27"/>
      <c r="O66" s="48"/>
      <c r="P66" s="118"/>
      <c r="U66" s="83">
        <f t="shared" si="0"/>
        <v>0</v>
      </c>
    </row>
    <row r="67" spans="2:21" s="3" customFormat="1" ht="25.8" hidden="1" x14ac:dyDescent="0.5">
      <c r="B67" s="29" t="s">
        <v>6</v>
      </c>
      <c r="C67" s="29"/>
      <c r="D67" s="31" t="str">
        <f>IMPRODUCT(D59,D60)</f>
        <v>886,6</v>
      </c>
      <c r="E67" s="28"/>
      <c r="F67" s="27"/>
      <c r="G67" s="27"/>
      <c r="H67" s="27"/>
      <c r="I67" s="27"/>
      <c r="J67" s="27"/>
      <c r="K67" s="27"/>
      <c r="L67" s="27"/>
      <c r="M67" s="27"/>
      <c r="N67" s="27"/>
      <c r="O67" s="48"/>
      <c r="P67" s="118"/>
      <c r="U67" s="83">
        <f t="shared" si="0"/>
        <v>0</v>
      </c>
    </row>
    <row r="68" spans="2:21" s="3" customFormat="1" ht="25.8" hidden="1" x14ac:dyDescent="0.5">
      <c r="B68" s="29" t="s">
        <v>21</v>
      </c>
      <c r="C68" s="29"/>
      <c r="D68" s="31" t="str">
        <f>IMPRODUCT(D59,D61)</f>
        <v>-886,6</v>
      </c>
      <c r="E68" s="28"/>
      <c r="F68" s="27"/>
      <c r="G68" s="27"/>
      <c r="H68" s="27"/>
      <c r="I68" s="27"/>
      <c r="J68" s="27"/>
      <c r="K68" s="27"/>
      <c r="L68" s="27"/>
      <c r="M68" s="27"/>
      <c r="N68" s="27"/>
      <c r="O68" s="48"/>
      <c r="P68" s="118"/>
      <c r="U68" s="83">
        <f t="shared" si="0"/>
        <v>0</v>
      </c>
    </row>
    <row r="69" spans="2:21" s="3" customFormat="1" ht="25.8" hidden="1" x14ac:dyDescent="0.5">
      <c r="B69" s="29" t="s">
        <v>5</v>
      </c>
      <c r="C69" s="29"/>
      <c r="D69" s="31" t="str">
        <f>IMPRODUCT(D59,D62)</f>
        <v>459,112511</v>
      </c>
      <c r="E69" s="32"/>
      <c r="F69" s="27"/>
      <c r="G69" s="27"/>
      <c r="H69" s="27"/>
      <c r="I69" s="27"/>
      <c r="J69" s="27"/>
      <c r="K69" s="27"/>
      <c r="L69" s="27"/>
      <c r="M69" s="27"/>
      <c r="N69" s="27"/>
      <c r="O69" s="48"/>
      <c r="P69" s="118"/>
      <c r="U69" s="83">
        <f t="shared" si="0"/>
        <v>0</v>
      </c>
    </row>
    <row r="70" spans="2:21" s="3" customFormat="1" ht="25.8" hidden="1" x14ac:dyDescent="0.5">
      <c r="B70" s="29" t="s">
        <v>7</v>
      </c>
      <c r="C70" s="29"/>
      <c r="D70" s="31" t="str">
        <f>IMPRODUCT(D69,D58)</f>
        <v>-459,112511</v>
      </c>
      <c r="E70" s="28"/>
      <c r="F70" s="27"/>
      <c r="G70" s="27"/>
      <c r="H70" s="27"/>
      <c r="I70" s="27"/>
      <c r="J70" s="27"/>
      <c r="K70" s="27"/>
      <c r="L70" s="27"/>
      <c r="M70" s="27"/>
      <c r="N70" s="27"/>
      <c r="O70" s="48"/>
      <c r="P70" s="118"/>
      <c r="U70" s="83">
        <f t="shared" si="0"/>
        <v>0</v>
      </c>
    </row>
    <row r="71" spans="2:21" s="3" customFormat="1" ht="25.8" hidden="1" x14ac:dyDescent="0.5">
      <c r="B71" s="29" t="s">
        <v>4</v>
      </c>
      <c r="C71" s="29"/>
      <c r="D71" s="31" t="str">
        <f>IMPRODUCT(D60,D62)</f>
        <v>207,134</v>
      </c>
      <c r="E71" s="28"/>
      <c r="F71" s="27"/>
      <c r="G71" s="27"/>
      <c r="H71" s="27"/>
      <c r="I71" s="27"/>
      <c r="J71" s="27"/>
      <c r="K71" s="27"/>
      <c r="L71" s="27"/>
      <c r="M71" s="27"/>
      <c r="N71" s="27"/>
      <c r="O71" s="48"/>
      <c r="P71" s="118"/>
      <c r="U71" s="83">
        <f t="shared" si="0"/>
        <v>0</v>
      </c>
    </row>
    <row r="72" spans="2:21" s="3" customFormat="1" ht="25.8" hidden="1" x14ac:dyDescent="0.5">
      <c r="B72" s="29" t="s">
        <v>23</v>
      </c>
      <c r="C72" s="29"/>
      <c r="D72" s="31" t="str">
        <f>IMPRODUCT(D61,D62)</f>
        <v>-207,134</v>
      </c>
      <c r="E72" s="28"/>
      <c r="F72" s="27"/>
      <c r="G72" s="27"/>
      <c r="H72" s="27"/>
      <c r="I72" s="27"/>
      <c r="J72" s="27"/>
      <c r="K72" s="27"/>
      <c r="L72" s="27"/>
      <c r="M72" s="27"/>
      <c r="N72" s="27"/>
      <c r="O72" s="48"/>
      <c r="P72" s="118"/>
      <c r="U72" s="83">
        <f t="shared" si="0"/>
        <v>0</v>
      </c>
    </row>
    <row r="73" spans="2:21" s="3" customFormat="1" ht="25.8" hidden="1" x14ac:dyDescent="0.5">
      <c r="B73" s="29" t="s">
        <v>22</v>
      </c>
      <c r="C73" s="29"/>
      <c r="D73" s="31" t="str">
        <f>IMPRODUCT(D60,D63)</f>
        <v>400</v>
      </c>
      <c r="E73" s="28"/>
      <c r="F73" s="27"/>
      <c r="G73" s="27"/>
      <c r="H73" s="27"/>
      <c r="I73" s="27"/>
      <c r="J73" s="27"/>
      <c r="K73" s="27"/>
      <c r="L73" s="27"/>
      <c r="M73" s="27"/>
      <c r="N73" s="27"/>
      <c r="O73" s="48"/>
      <c r="P73" s="118"/>
      <c r="U73" s="83">
        <f t="shared" si="0"/>
        <v>0</v>
      </c>
    </row>
    <row r="74" spans="2:21" s="3" customFormat="1" ht="25.8" hidden="1" x14ac:dyDescent="0.5">
      <c r="B74" s="29" t="s">
        <v>25</v>
      </c>
      <c r="C74" s="29"/>
      <c r="D74" s="31" t="str">
        <f>IMPRODUCT(D60,D64)</f>
        <v>-400</v>
      </c>
      <c r="E74" s="32"/>
      <c r="F74" s="27"/>
      <c r="G74" s="27"/>
      <c r="H74" s="27"/>
      <c r="I74" s="27"/>
      <c r="J74" s="27"/>
      <c r="K74" s="27"/>
      <c r="L74" s="27"/>
      <c r="M74" s="27"/>
      <c r="N74" s="27"/>
      <c r="O74" s="48"/>
      <c r="P74" s="118"/>
      <c r="U74" s="83">
        <f t="shared" si="0"/>
        <v>0</v>
      </c>
    </row>
    <row r="75" spans="2:21" s="3" customFormat="1" ht="25.8" hidden="1" x14ac:dyDescent="0.5">
      <c r="B75" s="29" t="s">
        <v>26</v>
      </c>
      <c r="C75" s="29"/>
      <c r="D75" s="31" t="str">
        <f>IMPRODUCT(D62,D63)</f>
        <v>207,134</v>
      </c>
      <c r="E75" s="28"/>
      <c r="F75" s="27"/>
      <c r="G75" s="27"/>
      <c r="H75" s="27"/>
      <c r="I75" s="27"/>
      <c r="J75" s="27"/>
      <c r="K75" s="27"/>
      <c r="L75" s="27"/>
      <c r="M75" s="27"/>
      <c r="N75" s="27"/>
      <c r="O75" s="48"/>
      <c r="P75" s="118"/>
      <c r="U75" s="83">
        <f t="shared" si="0"/>
        <v>0</v>
      </c>
    </row>
    <row r="76" spans="2:21" s="3" customFormat="1" ht="25.8" hidden="1" x14ac:dyDescent="0.5">
      <c r="B76" s="29" t="s">
        <v>27</v>
      </c>
      <c r="C76" s="29"/>
      <c r="D76" s="31" t="str">
        <f>IMPRODUCT(D62,D64)</f>
        <v>-207,134</v>
      </c>
      <c r="E76" s="28"/>
      <c r="F76" s="27"/>
      <c r="G76" s="27"/>
      <c r="H76" s="27"/>
      <c r="I76" s="27"/>
      <c r="J76" s="27"/>
      <c r="K76" s="27"/>
      <c r="L76" s="27"/>
      <c r="M76" s="27"/>
      <c r="N76" s="27"/>
      <c r="O76" s="48"/>
      <c r="P76" s="118"/>
      <c r="U76" s="83">
        <f t="shared" si="0"/>
        <v>0</v>
      </c>
    </row>
    <row r="77" spans="2:21" s="3" customFormat="1" ht="25.8" hidden="1" x14ac:dyDescent="0.5">
      <c r="B77" s="29" t="s">
        <v>28</v>
      </c>
      <c r="C77" s="29"/>
      <c r="D77" s="31" t="str">
        <f>IMPRODUCT(D59,D63)</f>
        <v>886,6</v>
      </c>
      <c r="E77" s="28"/>
      <c r="F77" s="27"/>
      <c r="G77" s="27"/>
      <c r="H77" s="27"/>
      <c r="I77" s="27"/>
      <c r="J77" s="27"/>
      <c r="K77" s="27"/>
      <c r="L77" s="27"/>
      <c r="M77" s="27"/>
      <c r="N77" s="27"/>
      <c r="O77" s="48"/>
      <c r="P77" s="118"/>
      <c r="U77" s="83">
        <f t="shared" si="0"/>
        <v>0</v>
      </c>
    </row>
    <row r="78" spans="2:21" s="3" customFormat="1" ht="25.8" hidden="1" x14ac:dyDescent="0.5">
      <c r="B78" s="29" t="s">
        <v>29</v>
      </c>
      <c r="C78" s="29"/>
      <c r="D78" s="31" t="str">
        <f>IMPRODUCT(D59,D64)</f>
        <v>-886,6</v>
      </c>
      <c r="E78" s="28"/>
      <c r="F78" s="27"/>
      <c r="G78" s="27"/>
      <c r="H78" s="27"/>
      <c r="I78" s="27"/>
      <c r="J78" s="27"/>
      <c r="K78" s="27"/>
      <c r="L78" s="27"/>
      <c r="M78" s="27"/>
      <c r="N78" s="27"/>
      <c r="O78" s="48"/>
      <c r="P78" s="118"/>
      <c r="U78" s="83">
        <f t="shared" si="0"/>
        <v>0</v>
      </c>
    </row>
    <row r="79" spans="2:21" s="3" customFormat="1" ht="25.8" hidden="1" x14ac:dyDescent="0.5">
      <c r="B79" s="29" t="s">
        <v>30</v>
      </c>
      <c r="C79" s="29"/>
      <c r="D79" s="31" t="str">
        <f>IMPRODUCT(D62,D65)</f>
        <v>103,567</v>
      </c>
      <c r="E79" s="28"/>
      <c r="F79" s="27"/>
      <c r="G79" s="27"/>
      <c r="H79" s="27"/>
      <c r="I79" s="27"/>
      <c r="J79" s="27"/>
      <c r="K79" s="27"/>
      <c r="L79" s="27"/>
      <c r="M79" s="27"/>
      <c r="N79" s="27"/>
      <c r="O79" s="48"/>
      <c r="P79" s="118"/>
      <c r="U79" s="83">
        <f t="shared" si="0"/>
        <v>0</v>
      </c>
    </row>
    <row r="80" spans="2:21" s="3" customFormat="1" ht="25.8" hidden="1" x14ac:dyDescent="0.5">
      <c r="B80" s="29" t="s">
        <v>31</v>
      </c>
      <c r="C80" s="29"/>
      <c r="D80" s="31" t="str">
        <f>IMPRODUCT(D62,D66)</f>
        <v>-103,567</v>
      </c>
      <c r="E80" s="28"/>
      <c r="F80" s="27"/>
      <c r="G80" s="27"/>
      <c r="H80" s="27"/>
      <c r="I80" s="27"/>
      <c r="J80" s="27"/>
      <c r="K80" s="27"/>
      <c r="L80" s="27"/>
      <c r="M80" s="27"/>
      <c r="N80" s="27"/>
      <c r="O80" s="48"/>
      <c r="P80" s="118"/>
      <c r="U80" s="83">
        <f t="shared" si="0"/>
        <v>0</v>
      </c>
    </row>
    <row r="81" spans="2:21" s="3" customFormat="1" ht="25.8" hidden="1" x14ac:dyDescent="0.5">
      <c r="B81" s="29" t="s">
        <v>32</v>
      </c>
      <c r="C81" s="29"/>
      <c r="D81" s="31" t="str">
        <f>IMPRODUCT(D63,D65)</f>
        <v>200</v>
      </c>
      <c r="E81" s="28"/>
      <c r="F81" s="27"/>
      <c r="G81" s="27"/>
      <c r="H81" s="27"/>
      <c r="I81" s="27"/>
      <c r="J81" s="27"/>
      <c r="K81" s="27"/>
      <c r="L81" s="27"/>
      <c r="M81" s="27"/>
      <c r="N81" s="27"/>
      <c r="O81" s="48"/>
      <c r="P81" s="118"/>
      <c r="U81" s="83">
        <f t="shared" si="0"/>
        <v>0</v>
      </c>
    </row>
    <row r="82" spans="2:21" s="3" customFormat="1" ht="25.8" hidden="1" x14ac:dyDescent="0.5">
      <c r="B82" s="29" t="s">
        <v>33</v>
      </c>
      <c r="C82" s="29"/>
      <c r="D82" s="31" t="str">
        <f>IMPRODUCT(D64,D65)</f>
        <v>-200</v>
      </c>
      <c r="E82" s="28"/>
      <c r="F82" s="27"/>
      <c r="G82" s="27"/>
      <c r="H82" s="27"/>
      <c r="I82" s="27"/>
      <c r="J82" s="27"/>
      <c r="K82" s="27"/>
      <c r="L82" s="27"/>
      <c r="M82" s="27"/>
      <c r="N82" s="27"/>
      <c r="O82" s="48"/>
      <c r="P82" s="118"/>
      <c r="U82" s="83">
        <f t="shared" si="0"/>
        <v>0</v>
      </c>
    </row>
    <row r="83" spans="2:21" s="3" customFormat="1" ht="25.8" hidden="1" x14ac:dyDescent="0.5">
      <c r="B83" s="29" t="s">
        <v>34</v>
      </c>
      <c r="C83" s="29"/>
      <c r="D83" s="31" t="str">
        <f>IMPRODUCT(D59,D65)</f>
        <v>443,3</v>
      </c>
      <c r="E83" s="28"/>
      <c r="F83" s="27"/>
      <c r="G83" s="27"/>
      <c r="H83" s="27"/>
      <c r="I83" s="27"/>
      <c r="J83" s="27"/>
      <c r="K83" s="27"/>
      <c r="L83" s="27"/>
      <c r="M83" s="27"/>
      <c r="N83" s="27"/>
      <c r="O83" s="48"/>
      <c r="P83" s="118"/>
      <c r="U83" s="83">
        <f t="shared" si="0"/>
        <v>0</v>
      </c>
    </row>
    <row r="84" spans="2:21" s="3" customFormat="1" ht="25.8" hidden="1" x14ac:dyDescent="0.5">
      <c r="B84" s="29" t="s">
        <v>35</v>
      </c>
      <c r="C84" s="29"/>
      <c r="D84" s="31" t="str">
        <f>IMPRODUCT(D59,D66)</f>
        <v>-443,3</v>
      </c>
      <c r="E84" s="28"/>
      <c r="F84" s="27"/>
      <c r="G84" s="27"/>
      <c r="H84" s="27"/>
      <c r="I84" s="27"/>
      <c r="J84" s="27"/>
      <c r="K84" s="27"/>
      <c r="L84" s="27"/>
      <c r="M84" s="27"/>
      <c r="N84" s="27"/>
      <c r="O84" s="48"/>
      <c r="P84" s="118"/>
      <c r="U84" s="83">
        <f t="shared" si="0"/>
        <v>0</v>
      </c>
    </row>
    <row r="85" spans="2:21" s="3" customFormat="1" ht="25.8" hidden="1" x14ac:dyDescent="0.5">
      <c r="B85" s="29" t="s">
        <v>36</v>
      </c>
      <c r="C85" s="29"/>
      <c r="D85" s="31" t="str">
        <f>IMPRODUCT(D60,D65)</f>
        <v>200</v>
      </c>
      <c r="E85" s="28"/>
      <c r="F85" s="27"/>
      <c r="G85" s="27"/>
      <c r="H85" s="27"/>
      <c r="I85" s="27"/>
      <c r="J85" s="27"/>
      <c r="K85" s="27"/>
      <c r="L85" s="27"/>
      <c r="M85" s="27"/>
      <c r="N85" s="27"/>
      <c r="O85" s="48"/>
      <c r="P85" s="118"/>
      <c r="U85" s="83">
        <f t="shared" si="0"/>
        <v>0</v>
      </c>
    </row>
    <row r="86" spans="2:21" s="3" customFormat="1" ht="25.8" hidden="1" x14ac:dyDescent="0.5">
      <c r="B86" s="29" t="s">
        <v>37</v>
      </c>
      <c r="C86" s="29"/>
      <c r="D86" s="31" t="str">
        <f>IMPRODUCT(D60,D66)</f>
        <v>-200</v>
      </c>
      <c r="E86" s="28"/>
      <c r="F86" s="27"/>
      <c r="G86" s="27"/>
      <c r="H86" s="27"/>
      <c r="I86" s="27"/>
      <c r="J86" s="27"/>
      <c r="K86" s="27"/>
      <c r="L86" s="27"/>
      <c r="M86" s="27"/>
      <c r="N86" s="27"/>
      <c r="O86" s="48"/>
      <c r="P86" s="118"/>
      <c r="U86" s="83">
        <f t="shared" si="0"/>
        <v>0</v>
      </c>
    </row>
    <row r="87" spans="2:21" s="3" customFormat="1" ht="25.8" hidden="1" x14ac:dyDescent="0.5">
      <c r="B87" s="29" t="s">
        <v>38</v>
      </c>
      <c r="C87" s="29"/>
      <c r="D87" s="31" t="str">
        <f>IMPRODUCT(D67,D62)</f>
        <v>9182,25022</v>
      </c>
      <c r="E87" s="28"/>
      <c r="F87" s="27"/>
      <c r="G87" s="27"/>
      <c r="H87" s="27"/>
      <c r="I87" s="27"/>
      <c r="J87" s="27"/>
      <c r="K87" s="27"/>
      <c r="L87" s="27"/>
      <c r="M87" s="27"/>
      <c r="N87" s="27"/>
      <c r="O87" s="48"/>
      <c r="P87" s="118"/>
      <c r="U87" s="83">
        <f t="shared" si="0"/>
        <v>0</v>
      </c>
    </row>
    <row r="88" spans="2:21" s="3" customFormat="1" ht="25.8" hidden="1" x14ac:dyDescent="0.5">
      <c r="B88" s="29" t="s">
        <v>39</v>
      </c>
      <c r="C88" s="29"/>
      <c r="D88" s="31" t="str">
        <f>IMPRODUCT(D87,D58)</f>
        <v>-9182,25022</v>
      </c>
      <c r="E88" s="28"/>
      <c r="F88" s="27"/>
      <c r="G88" s="27"/>
      <c r="H88" s="27"/>
      <c r="I88" s="27"/>
      <c r="J88" s="27"/>
      <c r="K88" s="27"/>
      <c r="L88" s="27"/>
      <c r="M88" s="27"/>
      <c r="N88" s="27"/>
      <c r="O88" s="48"/>
      <c r="P88" s="118"/>
      <c r="U88" s="83">
        <f t="shared" si="0"/>
        <v>0</v>
      </c>
    </row>
    <row r="89" spans="2:21" s="3" customFormat="1" ht="25.8" hidden="1" x14ac:dyDescent="0.5">
      <c r="B89" s="29" t="s">
        <v>40</v>
      </c>
      <c r="C89" s="29"/>
      <c r="D89" s="31" t="str">
        <f>IMPRODUCT(D67,D63)</f>
        <v>17732</v>
      </c>
      <c r="E89" s="28"/>
      <c r="F89" s="27"/>
      <c r="G89" s="27"/>
      <c r="H89" s="27"/>
      <c r="I89" s="27"/>
      <c r="J89" s="27"/>
      <c r="K89" s="27"/>
      <c r="L89" s="27"/>
      <c r="M89" s="27"/>
      <c r="N89" s="27"/>
      <c r="O89" s="48"/>
      <c r="P89" s="118"/>
      <c r="U89" s="83">
        <f t="shared" si="0"/>
        <v>0</v>
      </c>
    </row>
    <row r="90" spans="2:21" s="3" customFormat="1" ht="25.8" hidden="1" x14ac:dyDescent="0.5">
      <c r="B90" s="29" t="s">
        <v>41</v>
      </c>
      <c r="C90" s="29"/>
      <c r="D90" s="31" t="str">
        <f>IMPRODUCT(D89,D58)</f>
        <v>-17732</v>
      </c>
      <c r="E90" s="28"/>
      <c r="F90" s="27"/>
      <c r="G90" s="27"/>
      <c r="H90" s="27"/>
      <c r="I90" s="27"/>
      <c r="J90" s="27"/>
      <c r="K90" s="27"/>
      <c r="L90" s="27"/>
      <c r="M90" s="27"/>
      <c r="N90" s="27"/>
      <c r="O90" s="48"/>
      <c r="P90" s="118"/>
      <c r="U90" s="83">
        <f t="shared" si="0"/>
        <v>0</v>
      </c>
    </row>
    <row r="91" spans="2:21" s="3" customFormat="1" ht="25.8" hidden="1" x14ac:dyDescent="0.5">
      <c r="B91" s="29" t="s">
        <v>42</v>
      </c>
      <c r="C91" s="29"/>
      <c r="D91" s="31" t="str">
        <f>IMPRODUCT(D69,D63)</f>
        <v>9182,25022</v>
      </c>
      <c r="E91" s="28"/>
      <c r="F91" s="27"/>
      <c r="G91" s="27"/>
      <c r="H91" s="27"/>
      <c r="I91" s="27"/>
      <c r="J91" s="27"/>
      <c r="K91" s="27"/>
      <c r="L91" s="27"/>
      <c r="M91" s="27"/>
      <c r="N91" s="27"/>
      <c r="O91" s="48"/>
      <c r="P91" s="118"/>
      <c r="U91" s="83">
        <f t="shared" si="0"/>
        <v>0</v>
      </c>
    </row>
    <row r="92" spans="2:21" s="3" customFormat="1" ht="25.8" hidden="1" x14ac:dyDescent="0.5">
      <c r="B92" s="29" t="s">
        <v>43</v>
      </c>
      <c r="C92" s="29"/>
      <c r="D92" s="31" t="str">
        <f>IMPRODUCT(D69,D65)</f>
        <v>4591,12511</v>
      </c>
      <c r="E92" s="28"/>
      <c r="F92" s="27"/>
      <c r="G92" s="27"/>
      <c r="H92" s="27"/>
      <c r="I92" s="27"/>
      <c r="J92" s="27"/>
      <c r="K92" s="27"/>
      <c r="L92" s="27"/>
      <c r="M92" s="27"/>
      <c r="N92" s="27"/>
      <c r="O92" s="48"/>
      <c r="P92" s="118"/>
      <c r="U92" s="83">
        <f t="shared" si="0"/>
        <v>0</v>
      </c>
    </row>
    <row r="93" spans="2:21" s="3" customFormat="1" ht="25.8" hidden="1" x14ac:dyDescent="0.5">
      <c r="B93" s="29" t="s">
        <v>44</v>
      </c>
      <c r="C93" s="29"/>
      <c r="D93" s="31" t="str">
        <f>IMPRODUCT(D71,D63)</f>
        <v>4142,68</v>
      </c>
      <c r="E93" s="28"/>
      <c r="F93" s="27"/>
      <c r="G93" s="27"/>
      <c r="H93" s="27"/>
      <c r="I93" s="27"/>
      <c r="J93" s="27"/>
      <c r="K93" s="27"/>
      <c r="L93" s="27"/>
      <c r="M93" s="27"/>
      <c r="N93" s="27"/>
      <c r="O93" s="48"/>
      <c r="P93" s="118"/>
      <c r="U93" s="83">
        <f t="shared" si="0"/>
        <v>0</v>
      </c>
    </row>
    <row r="94" spans="2:21" s="3" customFormat="1" ht="25.8" hidden="1" x14ac:dyDescent="0.5">
      <c r="B94" s="29" t="s">
        <v>45</v>
      </c>
      <c r="C94" s="29"/>
      <c r="D94" s="31" t="str">
        <f>IMPRODUCT(D77,D65)</f>
        <v>8866</v>
      </c>
      <c r="E94" s="28"/>
      <c r="F94" s="27"/>
      <c r="G94" s="27"/>
      <c r="H94" s="27"/>
      <c r="I94" s="27"/>
      <c r="J94" s="27"/>
      <c r="K94" s="27"/>
      <c r="L94" s="27"/>
      <c r="M94" s="27"/>
      <c r="N94" s="27"/>
      <c r="O94" s="48"/>
      <c r="P94" s="118"/>
      <c r="U94" s="83">
        <f t="shared" si="0"/>
        <v>0</v>
      </c>
    </row>
    <row r="95" spans="2:21" s="3" customFormat="1" ht="25.8" hidden="1" x14ac:dyDescent="0.5">
      <c r="B95" s="29" t="s">
        <v>47</v>
      </c>
      <c r="C95" s="29"/>
      <c r="D95" s="31" t="str">
        <f>IMPRODUCT(D71,D65)</f>
        <v>2071,34</v>
      </c>
      <c r="E95" s="28"/>
      <c r="F95" s="27"/>
      <c r="G95" s="27"/>
      <c r="H95" s="27"/>
      <c r="I95" s="27"/>
      <c r="J95" s="27"/>
      <c r="K95" s="27"/>
      <c r="L95" s="27"/>
      <c r="M95" s="27"/>
      <c r="N95" s="27"/>
      <c r="O95" s="48"/>
      <c r="P95" s="118"/>
      <c r="U95" s="83">
        <f t="shared" si="0"/>
        <v>0</v>
      </c>
    </row>
    <row r="96" spans="2:21" s="3" customFormat="1" ht="25.8" hidden="1" x14ac:dyDescent="0.5">
      <c r="B96" s="29" t="s">
        <v>46</v>
      </c>
      <c r="C96" s="29"/>
      <c r="D96" s="31" t="str">
        <f>IMPRODUCT(D81,D60)</f>
        <v>4000</v>
      </c>
      <c r="E96" s="28"/>
      <c r="F96" s="27"/>
      <c r="G96" s="27"/>
      <c r="H96" s="27"/>
      <c r="I96" s="27"/>
      <c r="J96" s="27"/>
      <c r="K96" s="27"/>
      <c r="L96" s="27"/>
      <c r="M96" s="27"/>
      <c r="N96" s="27"/>
      <c r="O96" s="48"/>
      <c r="P96" s="118"/>
      <c r="U96" s="83">
        <f t="shared" ref="U96:U120" si="1">ROUND(P96,0)</f>
        <v>0</v>
      </c>
    </row>
    <row r="97" spans="2:21" s="3" customFormat="1" ht="25.8" hidden="1" x14ac:dyDescent="0.5">
      <c r="B97" s="29"/>
      <c r="C97" s="29"/>
      <c r="D97" s="27"/>
      <c r="E97" s="28"/>
      <c r="F97" s="27"/>
      <c r="G97" s="27"/>
      <c r="H97" s="27"/>
      <c r="I97" s="27"/>
      <c r="J97" s="27"/>
      <c r="K97" s="27"/>
      <c r="L97" s="27"/>
      <c r="M97" s="27"/>
      <c r="N97" s="27"/>
      <c r="O97" s="48"/>
      <c r="P97" s="118"/>
      <c r="U97" s="83">
        <f t="shared" si="1"/>
        <v>0</v>
      </c>
    </row>
    <row r="98" spans="2:21" s="3" customFormat="1" ht="25.8" hidden="1" x14ac:dyDescent="0.5">
      <c r="B98" s="29" t="s">
        <v>48</v>
      </c>
      <c r="C98" s="29"/>
      <c r="D98" s="31" t="str">
        <f>IMSUM(D87,D89,D91,D92,D93,D94,D95,D96)</f>
        <v>59767,64555</v>
      </c>
      <c r="E98" s="28"/>
      <c r="F98" s="27"/>
      <c r="G98" s="27"/>
      <c r="H98" s="27"/>
      <c r="I98" s="27"/>
      <c r="J98" s="27"/>
      <c r="K98" s="27"/>
      <c r="L98" s="27"/>
      <c r="M98" s="27"/>
      <c r="N98" s="27"/>
      <c r="O98" s="48"/>
      <c r="P98" s="118"/>
      <c r="U98" s="83">
        <f t="shared" si="1"/>
        <v>0</v>
      </c>
    </row>
    <row r="99" spans="2:21" s="3" customFormat="1" ht="25.8" hidden="1" x14ac:dyDescent="0.5">
      <c r="B99" s="29"/>
      <c r="C99" s="29"/>
      <c r="D99" s="27"/>
      <c r="E99" s="28"/>
      <c r="F99" s="27"/>
      <c r="G99" s="27"/>
      <c r="H99" s="27"/>
      <c r="I99" s="27"/>
      <c r="J99" s="27"/>
      <c r="K99" s="27"/>
      <c r="L99" s="27"/>
      <c r="M99" s="27"/>
      <c r="N99" s="27"/>
      <c r="O99" s="48"/>
      <c r="P99" s="118"/>
      <c r="U99" s="83">
        <f t="shared" si="1"/>
        <v>0</v>
      </c>
    </row>
    <row r="100" spans="2:21" s="3" customFormat="1" ht="25.8" hidden="1" x14ac:dyDescent="0.5">
      <c r="B100" s="29" t="s">
        <v>50</v>
      </c>
      <c r="C100" s="29"/>
      <c r="D100" s="31" t="str">
        <f>IMSUM(D72,D74,D76,D80,D82,)</f>
        <v>-1117,835</v>
      </c>
      <c r="E100" s="28"/>
      <c r="F100" s="27"/>
      <c r="G100" s="27"/>
      <c r="H100" s="27"/>
      <c r="I100" s="27"/>
      <c r="J100" s="27"/>
      <c r="K100" s="27"/>
      <c r="L100" s="27"/>
      <c r="M100" s="27"/>
      <c r="N100" s="27"/>
      <c r="O100" s="48"/>
      <c r="P100" s="118"/>
      <c r="U100" s="83">
        <f t="shared" si="1"/>
        <v>0</v>
      </c>
    </row>
    <row r="101" spans="2:21" s="3" customFormat="1" ht="25.8" hidden="1" x14ac:dyDescent="0.5">
      <c r="B101" s="29" t="s">
        <v>51</v>
      </c>
      <c r="C101" s="29"/>
      <c r="D101" s="31" t="str">
        <f>IMSUM(D75,D79,D81)</f>
        <v>510,701</v>
      </c>
      <c r="E101" s="28"/>
      <c r="F101" s="27"/>
      <c r="G101" s="27"/>
      <c r="H101" s="27"/>
      <c r="I101" s="27"/>
      <c r="J101" s="27"/>
      <c r="K101" s="27"/>
      <c r="L101" s="27"/>
      <c r="M101" s="27"/>
      <c r="N101" s="27"/>
      <c r="O101" s="48"/>
      <c r="P101" s="118"/>
      <c r="U101" s="83">
        <f t="shared" si="1"/>
        <v>0</v>
      </c>
    </row>
    <row r="102" spans="2:21" s="3" customFormat="1" ht="25.8" hidden="1" x14ac:dyDescent="0.5">
      <c r="B102" s="29" t="s">
        <v>52</v>
      </c>
      <c r="C102" s="29"/>
      <c r="D102" s="31" t="str">
        <f>IMSUM(D72,D74)</f>
        <v>-607,134</v>
      </c>
      <c r="E102" s="28"/>
      <c r="F102" s="27"/>
      <c r="G102" s="27"/>
      <c r="H102" s="27"/>
      <c r="I102" s="27"/>
      <c r="J102" s="27"/>
      <c r="K102" s="27"/>
      <c r="L102" s="27"/>
      <c r="M102" s="27"/>
      <c r="N102" s="27"/>
      <c r="O102" s="48"/>
      <c r="P102" s="118"/>
      <c r="U102" s="83">
        <f t="shared" si="1"/>
        <v>0</v>
      </c>
    </row>
    <row r="103" spans="2:21" s="3" customFormat="1" ht="25.8" hidden="1" x14ac:dyDescent="0.5">
      <c r="B103" s="29" t="s">
        <v>53</v>
      </c>
      <c r="C103" s="29"/>
      <c r="D103" s="31" t="str">
        <f>D102</f>
        <v>-607,134</v>
      </c>
      <c r="E103" s="28"/>
      <c r="F103" s="27"/>
      <c r="G103" s="27"/>
      <c r="H103" s="27"/>
      <c r="I103" s="27"/>
      <c r="J103" s="27"/>
      <c r="K103" s="27"/>
      <c r="L103" s="27"/>
      <c r="M103" s="27"/>
      <c r="N103" s="27"/>
      <c r="O103" s="48"/>
      <c r="P103" s="118"/>
      <c r="U103" s="83">
        <f t="shared" si="1"/>
        <v>0</v>
      </c>
    </row>
    <row r="104" spans="2:21" s="3" customFormat="1" ht="25.8" hidden="1" x14ac:dyDescent="0.5">
      <c r="B104" s="29" t="s">
        <v>54</v>
      </c>
      <c r="C104" s="29"/>
      <c r="D104" s="31" t="str">
        <f>IMSUM(D70,D78)</f>
        <v>-1345,712511</v>
      </c>
      <c r="E104" s="28"/>
      <c r="F104" s="27"/>
      <c r="G104" s="27"/>
      <c r="H104" s="27"/>
      <c r="I104" s="27"/>
      <c r="J104" s="27"/>
      <c r="K104" s="27"/>
      <c r="L104" s="27"/>
      <c r="M104" s="27"/>
      <c r="N104" s="27"/>
      <c r="O104" s="48"/>
      <c r="P104" s="118"/>
      <c r="U104" s="83">
        <f t="shared" si="1"/>
        <v>0</v>
      </c>
    </row>
    <row r="105" spans="2:21" s="3" customFormat="1" ht="25.8" hidden="1" x14ac:dyDescent="0.5">
      <c r="B105" s="29" t="s">
        <v>55</v>
      </c>
      <c r="C105" s="29"/>
      <c r="D105" s="31" t="str">
        <f>IMSUM(D77,D73)</f>
        <v>1286,6</v>
      </c>
      <c r="E105" s="28"/>
      <c r="F105" s="27"/>
      <c r="G105" s="27"/>
      <c r="H105" s="27"/>
      <c r="I105" s="27"/>
      <c r="J105" s="27"/>
      <c r="K105" s="27"/>
      <c r="L105" s="27"/>
      <c r="M105" s="27"/>
      <c r="N105" s="27"/>
      <c r="O105" s="48"/>
      <c r="P105" s="118"/>
      <c r="U105" s="83">
        <f t="shared" si="1"/>
        <v>0</v>
      </c>
    </row>
    <row r="106" spans="2:21" s="3" customFormat="1" ht="25.8" hidden="1" x14ac:dyDescent="0.5">
      <c r="B106" s="29" t="s">
        <v>56</v>
      </c>
      <c r="C106" s="29"/>
      <c r="D106" s="31" t="str">
        <f>IMSUM(D69,D71)</f>
        <v>666,246511</v>
      </c>
      <c r="E106" s="28"/>
      <c r="F106" s="27"/>
      <c r="G106" s="27"/>
      <c r="H106" s="27"/>
      <c r="I106" s="27"/>
      <c r="J106" s="27"/>
      <c r="K106" s="27"/>
      <c r="L106" s="27"/>
      <c r="M106" s="27"/>
      <c r="N106" s="27"/>
      <c r="O106" s="48"/>
      <c r="P106" s="118"/>
      <c r="U106" s="83">
        <f t="shared" si="1"/>
        <v>0</v>
      </c>
    </row>
    <row r="107" spans="2:21" s="3" customFormat="1" ht="25.8" hidden="1" x14ac:dyDescent="0.5">
      <c r="B107" s="29" t="s">
        <v>57</v>
      </c>
      <c r="C107" s="29"/>
      <c r="D107" s="31" t="str">
        <f>IMSUM(D70,D78,D72,D74)</f>
        <v>-1952,846511</v>
      </c>
      <c r="E107" s="28"/>
      <c r="F107" s="27"/>
      <c r="G107" s="27"/>
      <c r="H107" s="27"/>
      <c r="I107" s="27"/>
      <c r="J107" s="27"/>
      <c r="K107" s="27"/>
      <c r="L107" s="27"/>
      <c r="M107" s="27"/>
      <c r="N107" s="27"/>
      <c r="O107" s="48"/>
      <c r="P107" s="118"/>
      <c r="U107" s="83">
        <f t="shared" si="1"/>
        <v>0</v>
      </c>
    </row>
    <row r="108" spans="2:21" s="3" customFormat="1" ht="25.8" hidden="1" x14ac:dyDescent="0.5">
      <c r="B108" s="29" t="s">
        <v>58</v>
      </c>
      <c r="C108" s="29"/>
      <c r="D108" s="31" t="str">
        <f>IMSUM(D68,D84,D86)</f>
        <v>-1529,9</v>
      </c>
      <c r="E108" s="28"/>
      <c r="F108" s="27"/>
      <c r="G108" s="27"/>
      <c r="H108" s="27"/>
      <c r="I108" s="27"/>
      <c r="J108" s="27"/>
      <c r="K108" s="27"/>
      <c r="L108" s="27"/>
      <c r="M108" s="27"/>
      <c r="N108" s="27"/>
      <c r="O108" s="48"/>
      <c r="P108" s="118"/>
      <c r="U108" s="83">
        <f t="shared" si="1"/>
        <v>0</v>
      </c>
    </row>
    <row r="109" spans="2:21" s="3" customFormat="1" ht="25.8" hidden="1" x14ac:dyDescent="0.5">
      <c r="B109" s="29" t="s">
        <v>59</v>
      </c>
      <c r="C109" s="29"/>
      <c r="D109" s="31" t="str">
        <f>IMSUM(D67,D69,D71,D83,D85)</f>
        <v>2196,146511</v>
      </c>
      <c r="E109" s="28"/>
      <c r="F109" s="27"/>
      <c r="G109" s="27"/>
      <c r="H109" s="27"/>
      <c r="I109" s="27"/>
      <c r="J109" s="27"/>
      <c r="K109" s="27"/>
      <c r="L109" s="27"/>
      <c r="M109" s="27"/>
      <c r="N109" s="27"/>
      <c r="O109" s="48"/>
      <c r="P109" s="118"/>
      <c r="U109" s="83">
        <f t="shared" si="1"/>
        <v>0</v>
      </c>
    </row>
    <row r="110" spans="2:21" s="3" customFormat="1" ht="25.8" hidden="1" x14ac:dyDescent="0.5">
      <c r="B110" s="29" t="s">
        <v>60</v>
      </c>
      <c r="C110" s="29"/>
      <c r="D110" s="31" t="str">
        <f>IMSUM(D70,D72)</f>
        <v>-666,246511</v>
      </c>
      <c r="E110" s="28"/>
      <c r="F110" s="27"/>
      <c r="G110" s="27"/>
      <c r="H110" s="27"/>
      <c r="I110" s="27"/>
      <c r="J110" s="27"/>
      <c r="K110" s="27"/>
      <c r="L110" s="27"/>
      <c r="M110" s="27"/>
      <c r="N110" s="27"/>
      <c r="O110" s="48"/>
      <c r="P110" s="118"/>
      <c r="U110" s="83">
        <f t="shared" si="1"/>
        <v>0</v>
      </c>
    </row>
    <row r="111" spans="2:21" s="3" customFormat="1" ht="25.8" hidden="1" x14ac:dyDescent="0.5">
      <c r="B111" s="29" t="s">
        <v>61</v>
      </c>
      <c r="C111" s="29"/>
      <c r="D111" s="31" t="str">
        <f>IMSUM(D93,D95,D96)</f>
        <v>10214,02</v>
      </c>
      <c r="E111" s="28"/>
      <c r="F111" s="27"/>
      <c r="G111" s="27"/>
      <c r="H111" s="27"/>
      <c r="I111" s="27"/>
      <c r="J111" s="27"/>
      <c r="K111" s="27"/>
      <c r="L111" s="27"/>
      <c r="M111" s="27"/>
      <c r="N111" s="27"/>
      <c r="O111" s="48"/>
      <c r="P111" s="118"/>
      <c r="U111" s="83">
        <f t="shared" si="1"/>
        <v>0</v>
      </c>
    </row>
    <row r="112" spans="2:21" s="3" customFormat="1" ht="25.8" hidden="1" x14ac:dyDescent="0.5">
      <c r="B112" s="29" t="s">
        <v>62</v>
      </c>
      <c r="C112" s="29"/>
      <c r="D112" s="31" t="str">
        <f>IMSUM(D91,D92,D94)</f>
        <v>22639,37533</v>
      </c>
      <c r="E112" s="28"/>
      <c r="F112" s="27"/>
      <c r="G112" s="27"/>
      <c r="H112" s="27"/>
      <c r="I112" s="27"/>
      <c r="J112" s="27"/>
      <c r="K112" s="27"/>
      <c r="L112" s="27"/>
      <c r="M112" s="27"/>
      <c r="N112" s="27"/>
      <c r="O112" s="48"/>
      <c r="P112" s="118"/>
      <c r="U112" s="83">
        <f t="shared" si="1"/>
        <v>0</v>
      </c>
    </row>
    <row r="113" spans="2:23" s="3" customFormat="1" ht="25.8" hidden="1" x14ac:dyDescent="0.5">
      <c r="B113" s="29" t="s">
        <v>63</v>
      </c>
      <c r="C113" s="29"/>
      <c r="D113" s="31" t="str">
        <f>IMSUM(D88,D90)</f>
        <v>-26914,25022</v>
      </c>
      <c r="E113" s="28"/>
      <c r="F113" s="27"/>
      <c r="G113" s="27"/>
      <c r="H113" s="27"/>
      <c r="I113" s="27"/>
      <c r="J113" s="27"/>
      <c r="K113" s="27"/>
      <c r="L113" s="27"/>
      <c r="M113" s="27"/>
      <c r="N113" s="27"/>
      <c r="O113" s="48"/>
      <c r="P113" s="118"/>
      <c r="U113" s="83">
        <f t="shared" si="1"/>
        <v>0</v>
      </c>
    </row>
    <row r="114" spans="2:23" s="3" customFormat="1" ht="25.8" hidden="1" x14ac:dyDescent="0.5">
      <c r="B114" s="29" t="s">
        <v>64</v>
      </c>
      <c r="C114" s="29"/>
      <c r="D114" s="31" t="str">
        <f>IMSUM(D89,D94,D96)</f>
        <v>30598</v>
      </c>
      <c r="E114" s="28"/>
      <c r="F114" s="27"/>
      <c r="G114" s="27"/>
      <c r="H114" s="27"/>
      <c r="I114" s="27"/>
      <c r="J114" s="27"/>
      <c r="K114" s="27"/>
      <c r="L114" s="27"/>
      <c r="M114" s="27"/>
      <c r="N114" s="27"/>
      <c r="O114" s="48"/>
      <c r="P114" s="118"/>
      <c r="U114" s="83">
        <f t="shared" si="1"/>
        <v>0</v>
      </c>
    </row>
    <row r="115" spans="2:23" s="3" customFormat="1" ht="25.8" hidden="1" x14ac:dyDescent="0.5">
      <c r="B115" s="29" t="s">
        <v>24</v>
      </c>
      <c r="C115" s="29"/>
      <c r="D115" s="31" t="str">
        <f>IMSUM(D87,D92,D95)</f>
        <v>15844,71533</v>
      </c>
      <c r="E115" s="28"/>
      <c r="F115" s="27"/>
      <c r="G115" s="27"/>
      <c r="H115" s="27"/>
      <c r="I115" s="27"/>
      <c r="J115" s="27"/>
      <c r="K115" s="27"/>
      <c r="L115" s="27"/>
      <c r="M115" s="27"/>
      <c r="N115" s="27"/>
      <c r="O115" s="48"/>
      <c r="P115" s="118"/>
      <c r="U115" s="83">
        <f t="shared" si="1"/>
        <v>0</v>
      </c>
    </row>
    <row r="116" spans="2:23" s="3" customFormat="1" ht="25.8" hidden="1" x14ac:dyDescent="0.5">
      <c r="B116" s="29" t="s">
        <v>65</v>
      </c>
      <c r="C116" s="29"/>
      <c r="D116" s="31" t="str">
        <f>IMSUM(D91,D93)</f>
        <v>13324,93022</v>
      </c>
      <c r="E116" s="28"/>
      <c r="F116" s="27"/>
      <c r="G116" s="27"/>
      <c r="H116" s="27"/>
      <c r="I116" s="27"/>
      <c r="J116" s="27"/>
      <c r="K116" s="27"/>
      <c r="L116" s="27"/>
      <c r="M116" s="27"/>
      <c r="N116" s="27"/>
      <c r="O116" s="48"/>
      <c r="P116" s="118"/>
      <c r="U116" s="83">
        <f t="shared" si="1"/>
        <v>0</v>
      </c>
    </row>
    <row r="117" spans="2:23" s="3" customFormat="1" ht="25.8" hidden="1" x14ac:dyDescent="0.5">
      <c r="B117" s="29"/>
      <c r="C117" s="29"/>
      <c r="D117" s="27"/>
      <c r="E117" s="28"/>
      <c r="F117" s="27"/>
      <c r="G117" s="27"/>
      <c r="H117" s="27"/>
      <c r="I117" s="27"/>
      <c r="J117" s="27"/>
      <c r="K117" s="27"/>
      <c r="L117" s="27"/>
      <c r="M117" s="27"/>
      <c r="N117" s="27"/>
      <c r="O117" s="48"/>
      <c r="P117" s="118"/>
      <c r="U117" s="83">
        <f t="shared" si="1"/>
        <v>0</v>
      </c>
    </row>
    <row r="118" spans="2:23" s="3" customFormat="1" ht="25.8" hidden="1" x14ac:dyDescent="0.5">
      <c r="B118" s="29" t="s">
        <v>66</v>
      </c>
      <c r="C118" s="29"/>
      <c r="D118" s="31" t="str">
        <f>IMSUB(F50,F49)</f>
        <v>7000</v>
      </c>
      <c r="E118" s="28"/>
      <c r="F118" s="27"/>
      <c r="G118" s="27"/>
      <c r="H118" s="27"/>
      <c r="I118" s="27"/>
      <c r="J118" s="27"/>
      <c r="K118" s="27"/>
      <c r="L118" s="27"/>
      <c r="M118" s="27"/>
      <c r="N118" s="27"/>
      <c r="O118" s="48"/>
      <c r="P118" s="118"/>
      <c r="U118" s="83">
        <f t="shared" si="1"/>
        <v>0</v>
      </c>
    </row>
    <row r="119" spans="2:23" s="3" customFormat="1" ht="25.8" hidden="1" x14ac:dyDescent="0.5">
      <c r="B119" s="29" t="s">
        <v>9</v>
      </c>
      <c r="C119" s="29"/>
      <c r="D119" s="31" t="str">
        <f>IMSUB(F51,F50)</f>
        <v>-5500</v>
      </c>
      <c r="E119" s="28"/>
      <c r="F119" s="27"/>
      <c r="G119" s="27"/>
      <c r="H119" s="27"/>
      <c r="I119" s="27"/>
      <c r="J119" s="27"/>
      <c r="K119" s="27"/>
      <c r="L119" s="27"/>
      <c r="M119" s="27"/>
      <c r="N119" s="27"/>
      <c r="O119" s="48"/>
      <c r="P119" s="118"/>
      <c r="U119" s="83">
        <f t="shared" si="1"/>
        <v>0</v>
      </c>
    </row>
    <row r="120" spans="2:23" s="3" customFormat="1" ht="25.8" hidden="1" x14ac:dyDescent="0.5">
      <c r="B120" s="29" t="s">
        <v>67</v>
      </c>
      <c r="C120" s="29"/>
      <c r="D120" s="31" t="str">
        <f>IMSUB(F52,F51)</f>
        <v>500</v>
      </c>
      <c r="E120" s="28"/>
      <c r="F120" s="27"/>
      <c r="G120" s="27"/>
      <c r="H120" s="27"/>
      <c r="I120" s="27"/>
      <c r="J120" s="27"/>
      <c r="K120" s="27"/>
      <c r="L120" s="27"/>
      <c r="M120" s="27"/>
      <c r="N120" s="27"/>
      <c r="O120" s="48"/>
      <c r="P120" s="118"/>
      <c r="U120" s="83">
        <f t="shared" si="1"/>
        <v>0</v>
      </c>
    </row>
    <row r="121" spans="2:23" s="3" customFormat="1" ht="25.8" x14ac:dyDescent="0.5">
      <c r="B121" s="29"/>
      <c r="C121" s="29"/>
      <c r="D121" s="36"/>
      <c r="E121" s="28"/>
      <c r="F121" s="27"/>
      <c r="G121" s="27"/>
      <c r="H121" s="27"/>
      <c r="I121" s="27"/>
      <c r="J121" s="27"/>
      <c r="K121" s="27"/>
      <c r="L121" s="27"/>
      <c r="M121" s="27"/>
      <c r="N121" s="27"/>
      <c r="O121" s="48"/>
      <c r="P121" s="118"/>
      <c r="U121" s="83"/>
    </row>
    <row r="122" spans="2:23" s="3" customFormat="1" ht="25.8" x14ac:dyDescent="0.5">
      <c r="B122" s="53"/>
      <c r="C122" s="64"/>
      <c r="D122" s="54" t="s">
        <v>72</v>
      </c>
      <c r="E122" s="28"/>
      <c r="F122" s="27"/>
      <c r="G122" s="27"/>
      <c r="H122" s="27"/>
      <c r="I122" s="27"/>
      <c r="J122" s="27"/>
      <c r="K122" s="27"/>
      <c r="L122" s="27"/>
      <c r="M122" s="27"/>
      <c r="N122" s="27"/>
      <c r="O122" s="48"/>
      <c r="P122" s="118"/>
      <c r="U122" s="83"/>
    </row>
    <row r="123" spans="2:23" s="3" customFormat="1" ht="28.8" x14ac:dyDescent="0.55000000000000004">
      <c r="B123" s="108" t="s">
        <v>73</v>
      </c>
      <c r="C123" s="109"/>
      <c r="D123" s="110">
        <v>1000</v>
      </c>
      <c r="E123" s="28"/>
      <c r="F123" s="27"/>
      <c r="G123" s="27"/>
      <c r="H123" s="27"/>
      <c r="I123" s="27"/>
      <c r="J123" s="27"/>
      <c r="K123" s="27"/>
      <c r="L123" s="27"/>
      <c r="M123" s="27"/>
      <c r="N123" s="27"/>
      <c r="O123" s="45" t="s">
        <v>98</v>
      </c>
      <c r="P123" s="137">
        <f>-D123*G139*COS(B49-F139)</f>
        <v>76783.600186505893</v>
      </c>
      <c r="Q123" s="138"/>
      <c r="U123" s="83">
        <f>ROUND(P123,T30)</f>
        <v>76783.600000000006</v>
      </c>
      <c r="W123" s="83">
        <f>ROUND(D123,S30)</f>
        <v>1000</v>
      </c>
    </row>
    <row r="124" spans="2:23" s="3" customFormat="1" ht="28.8" x14ac:dyDescent="0.55000000000000004">
      <c r="B124" s="111" t="s">
        <v>74</v>
      </c>
      <c r="C124" s="44"/>
      <c r="D124" s="112">
        <v>8000</v>
      </c>
      <c r="E124" s="28"/>
      <c r="F124" s="27"/>
      <c r="G124" s="27"/>
      <c r="H124" s="27"/>
      <c r="I124" s="27"/>
      <c r="J124" s="27"/>
      <c r="K124" s="27"/>
      <c r="L124" s="27"/>
      <c r="M124" s="27"/>
      <c r="N124" s="27"/>
      <c r="O124" s="45" t="s">
        <v>98</v>
      </c>
      <c r="P124" s="129">
        <f>-D124*G145*COS(B50-F145)</f>
        <v>-1438473.20149288</v>
      </c>
      <c r="Q124" s="134"/>
      <c r="U124" s="83">
        <f>ROUND(P124,T30)</f>
        <v>-1438473.2</v>
      </c>
      <c r="W124" s="83">
        <f>ROUND(D124,S30)</f>
        <v>8000</v>
      </c>
    </row>
    <row r="125" spans="2:23" s="3" customFormat="1" ht="28.8" x14ac:dyDescent="0.55000000000000004">
      <c r="B125" s="111" t="s">
        <v>75</v>
      </c>
      <c r="C125" s="44"/>
      <c r="D125" s="112">
        <v>2500</v>
      </c>
      <c r="E125" s="28"/>
      <c r="F125" s="27"/>
      <c r="G125" s="27"/>
      <c r="H125" s="27"/>
      <c r="I125" s="27"/>
      <c r="J125" s="27"/>
      <c r="K125" s="27"/>
      <c r="L125" s="27"/>
      <c r="M125" s="27"/>
      <c r="N125" s="27"/>
      <c r="O125" s="45" t="s">
        <v>98</v>
      </c>
      <c r="P125" s="129">
        <f>-D125*G151*COS(B51-F151)</f>
        <v>210868.68796691298</v>
      </c>
      <c r="Q125" s="134"/>
      <c r="U125" s="83">
        <f>ROUND(P125,T30)</f>
        <v>210868.7</v>
      </c>
      <c r="W125" s="83">
        <f>ROUND(D125,S30)</f>
        <v>2500</v>
      </c>
    </row>
    <row r="126" spans="2:23" s="3" customFormat="1" ht="28.8" x14ac:dyDescent="0.55000000000000004">
      <c r="B126" s="113" t="s">
        <v>76</v>
      </c>
      <c r="C126" s="114"/>
      <c r="D126" s="115">
        <v>3000</v>
      </c>
      <c r="E126" s="28"/>
      <c r="F126" s="27"/>
      <c r="G126" s="27"/>
      <c r="H126" s="27"/>
      <c r="I126" s="27"/>
      <c r="J126" s="27"/>
      <c r="K126" s="27"/>
      <c r="L126" s="27"/>
      <c r="M126" s="27"/>
      <c r="N126" s="27"/>
      <c r="O126" s="45" t="s">
        <v>98</v>
      </c>
      <c r="P126" s="135">
        <f>-D126*G157*COS(B52-F157)</f>
        <v>56034.224440015503</v>
      </c>
      <c r="Q126" s="136"/>
      <c r="U126" s="83">
        <f>ROUND(P126,T30)</f>
        <v>56034.2</v>
      </c>
      <c r="W126" s="83">
        <f>ROUND(D126,S30)</f>
        <v>3000</v>
      </c>
    </row>
    <row r="127" spans="2:23" s="3" customFormat="1" ht="25.8" x14ac:dyDescent="0.5">
      <c r="B127" s="43"/>
      <c r="C127" s="43"/>
      <c r="D127" s="85"/>
      <c r="E127" s="28"/>
      <c r="F127" s="27"/>
      <c r="G127" s="27"/>
      <c r="H127" s="27"/>
      <c r="I127" s="27"/>
      <c r="J127" s="27"/>
      <c r="K127" s="27"/>
      <c r="L127" s="27"/>
      <c r="M127" s="27"/>
      <c r="N127" s="27"/>
      <c r="O127" s="128" t="s">
        <v>117</v>
      </c>
      <c r="P127" s="131">
        <f>SUM(P123+P31+P32+P124+P33+P125+P126+P34+P35)</f>
        <v>1.3096723705530167E-10</v>
      </c>
      <c r="Q127" s="130"/>
    </row>
    <row r="128" spans="2:23" s="3" customFormat="1" ht="25.8" x14ac:dyDescent="0.5">
      <c r="E128" s="28"/>
      <c r="F128" s="27"/>
      <c r="G128" s="27"/>
      <c r="H128" s="27"/>
      <c r="I128" s="27"/>
      <c r="J128" s="27"/>
      <c r="K128" s="27"/>
      <c r="L128" s="27"/>
      <c r="M128" s="27"/>
      <c r="N128" s="27"/>
      <c r="P128" s="27"/>
    </row>
    <row r="129" spans="5:21" s="3" customFormat="1" ht="25.8" x14ac:dyDescent="0.5">
      <c r="E129" s="44"/>
      <c r="F129" s="27"/>
      <c r="G129" s="27"/>
      <c r="H129" s="27"/>
      <c r="I129" s="27"/>
      <c r="J129" s="27"/>
      <c r="K129" s="27"/>
      <c r="L129" s="27"/>
      <c r="M129" s="27"/>
      <c r="N129" s="27"/>
      <c r="O129" s="56"/>
      <c r="P129" s="54" t="s">
        <v>96</v>
      </c>
    </row>
    <row r="130" spans="5:21" s="3" customFormat="1" ht="25.8" x14ac:dyDescent="0.5">
      <c r="E130" s="33">
        <f>F130*(180/3.14)</f>
        <v>0</v>
      </c>
      <c r="F130" s="27">
        <f>IMARGUMENT(H130)</f>
        <v>0</v>
      </c>
      <c r="G130" s="27" t="str">
        <f>IMPRODUCT(P138,D59)</f>
        <v>-3403,81699626781</v>
      </c>
      <c r="H130" s="27" t="str">
        <f>IMSUB(F49,G130)</f>
        <v>4403,81699626781</v>
      </c>
      <c r="I130" s="27"/>
      <c r="J130" s="27"/>
      <c r="K130" s="27"/>
      <c r="L130" s="27"/>
      <c r="M130" s="27"/>
      <c r="N130" s="27"/>
      <c r="O130" s="119" t="s">
        <v>88</v>
      </c>
      <c r="P130" s="139">
        <f>IMABS(H130)*COS(F130)</f>
        <v>4403.8169962678103</v>
      </c>
      <c r="Q130" s="138"/>
      <c r="R130" s="81"/>
      <c r="U130" s="83">
        <f>ROUND(P130,S30)</f>
        <v>4403.82</v>
      </c>
    </row>
    <row r="131" spans="5:21" s="3" customFormat="1" ht="25.8" x14ac:dyDescent="0.5">
      <c r="E131" s="33">
        <f>F131*(180/3.14)</f>
        <v>0</v>
      </c>
      <c r="F131" s="27">
        <f>IMARGUMENT(H131)</f>
        <v>0</v>
      </c>
      <c r="G131" s="27" t="str">
        <f>IMPRODUCT(P156,D63)</f>
        <v>-373,56149626677</v>
      </c>
      <c r="H131" s="27" t="str">
        <f>IMSUB(F52,G131)</f>
        <v>3373,56149626677</v>
      </c>
      <c r="I131" s="27"/>
      <c r="J131" s="27"/>
      <c r="K131" s="27"/>
      <c r="L131" s="27"/>
      <c r="M131" s="27"/>
      <c r="N131" s="27"/>
      <c r="O131" s="120" t="s">
        <v>89</v>
      </c>
      <c r="P131" s="140">
        <f>IMABS(H131)*COS(F131)</f>
        <v>3373.5614962667701</v>
      </c>
      <c r="Q131" s="136"/>
      <c r="U131" s="83">
        <f>ROUND(P131,S30)</f>
        <v>3373.56</v>
      </c>
    </row>
    <row r="132" spans="5:21" s="3" customFormat="1" ht="25.8" x14ac:dyDescent="0.5"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9"/>
      <c r="P132" s="27"/>
    </row>
    <row r="133" spans="5:21" s="3" customFormat="1" ht="25.8" x14ac:dyDescent="0.5">
      <c r="E133" s="27"/>
      <c r="F133" s="27"/>
      <c r="G133" s="75" t="s">
        <v>99</v>
      </c>
      <c r="I133" s="27"/>
      <c r="J133" s="27"/>
      <c r="K133" s="27"/>
      <c r="L133" s="27"/>
      <c r="M133" s="27"/>
      <c r="N133" s="27"/>
      <c r="O133" s="56"/>
      <c r="P133" s="54" t="s">
        <v>97</v>
      </c>
    </row>
    <row r="134" spans="5:21" s="3" customFormat="1" ht="25.8" hidden="1" x14ac:dyDescent="0.5">
      <c r="E134" s="27"/>
      <c r="F134" s="27"/>
      <c r="G134" s="76" t="str">
        <f>IMPRODUCT(H100,H118)</f>
        <v>0</v>
      </c>
      <c r="I134" s="27"/>
      <c r="J134" s="27"/>
      <c r="K134" s="27"/>
      <c r="L134" s="27"/>
      <c r="M134" s="27"/>
      <c r="N134" s="27"/>
      <c r="O134" s="57"/>
      <c r="P134" s="58" t="str">
        <f>IMPRODUCT(D100,D118)</f>
        <v>-7824845</v>
      </c>
    </row>
    <row r="135" spans="5:21" s="3" customFormat="1" ht="25.8" hidden="1" x14ac:dyDescent="0.5">
      <c r="E135" s="27"/>
      <c r="F135" s="27"/>
      <c r="G135" s="76" t="str">
        <f>IMPRODUCT(H103,H119)</f>
        <v>0</v>
      </c>
      <c r="I135" s="27"/>
      <c r="J135" s="27"/>
      <c r="K135" s="27"/>
      <c r="L135" s="27"/>
      <c r="M135" s="27"/>
      <c r="N135" s="27"/>
      <c r="O135" s="57"/>
      <c r="P135" s="58" t="str">
        <f>IMPRODUCT(D103,D119)</f>
        <v>3339237</v>
      </c>
    </row>
    <row r="136" spans="5:21" s="3" customFormat="1" ht="25.8" hidden="1" x14ac:dyDescent="0.5">
      <c r="E136" s="27"/>
      <c r="F136" s="27"/>
      <c r="G136" s="76" t="str">
        <f>IMPRODUCT(H72,H120)</f>
        <v>0</v>
      </c>
      <c r="I136" s="27"/>
      <c r="J136" s="27"/>
      <c r="K136" s="27"/>
      <c r="L136" s="27"/>
      <c r="M136" s="27"/>
      <c r="N136" s="27"/>
      <c r="O136" s="57"/>
      <c r="P136" s="58" t="str">
        <f>IMPRODUCT(D72,D120)</f>
        <v>-103567</v>
      </c>
    </row>
    <row r="137" spans="5:21" s="3" customFormat="1" ht="25.8" hidden="1" x14ac:dyDescent="0.5">
      <c r="E137" s="27"/>
      <c r="F137" s="27"/>
      <c r="G137" s="76" t="str">
        <f>IMSUM(G134:G136)</f>
        <v>0</v>
      </c>
      <c r="I137" s="27"/>
      <c r="J137" s="27"/>
      <c r="K137" s="27"/>
      <c r="L137" s="27"/>
      <c r="M137" s="27"/>
      <c r="N137" s="27"/>
      <c r="O137" s="57"/>
      <c r="P137" s="58" t="str">
        <f>IMSUM(P134:P136)</f>
        <v>-4589175</v>
      </c>
    </row>
    <row r="138" spans="5:21" s="3" customFormat="1" ht="25.8" hidden="1" x14ac:dyDescent="0.5">
      <c r="E138" s="29" t="s">
        <v>10</v>
      </c>
      <c r="F138" s="29" t="s">
        <v>68</v>
      </c>
      <c r="G138" s="76" t="e">
        <f>IMDIV(G137,H98)</f>
        <v>#NUM!</v>
      </c>
      <c r="I138" s="27"/>
      <c r="J138" s="27"/>
      <c r="K138" s="27"/>
      <c r="L138" s="27"/>
      <c r="M138" s="27"/>
      <c r="N138" s="27"/>
      <c r="O138" s="57"/>
      <c r="P138" s="58" t="str">
        <f>IMDIV(P137,D98)</f>
        <v>-76,7836001865059</v>
      </c>
    </row>
    <row r="139" spans="5:21" s="3" customFormat="1" ht="25.8" x14ac:dyDescent="0.5">
      <c r="E139" s="33">
        <f>F139*(180/3.1425)</f>
        <v>179.9480278905848</v>
      </c>
      <c r="F139" s="35">
        <f>IMARGUMENT(P138)</f>
        <v>3.1415926535897931</v>
      </c>
      <c r="G139" s="34">
        <f>ABS(P139)</f>
        <v>76.783600186505893</v>
      </c>
      <c r="I139" s="27"/>
      <c r="J139" s="27"/>
      <c r="K139" s="27"/>
      <c r="L139" s="27"/>
      <c r="M139" s="27"/>
      <c r="N139" s="27"/>
      <c r="O139" s="121" t="s">
        <v>90</v>
      </c>
      <c r="P139" s="141">
        <f>IMABS(P138)*COS(F139)</f>
        <v>-76.783600186505893</v>
      </c>
      <c r="Q139" s="138"/>
      <c r="R139" s="81"/>
      <c r="T139" s="82"/>
      <c r="U139" s="83">
        <f>ROUND(P139,S30)</f>
        <v>-76.78</v>
      </c>
    </row>
    <row r="140" spans="5:21" s="3" customFormat="1" ht="25.8" hidden="1" x14ac:dyDescent="0.5">
      <c r="E140" s="33"/>
      <c r="F140" s="35"/>
      <c r="G140" s="34" t="str">
        <f>IMPRODUCT(H101,H118)</f>
        <v>0</v>
      </c>
      <c r="I140" s="27"/>
      <c r="J140" s="27"/>
      <c r="K140" s="27"/>
      <c r="L140" s="27"/>
      <c r="M140" s="27"/>
      <c r="N140" s="27"/>
      <c r="O140" s="122"/>
      <c r="P140" s="142" t="str">
        <f>IMPRODUCT(D101,D118)</f>
        <v>3574907</v>
      </c>
      <c r="Q140" s="143"/>
    </row>
    <row r="141" spans="5:21" s="3" customFormat="1" ht="25.8" hidden="1" x14ac:dyDescent="0.5">
      <c r="E141" s="33"/>
      <c r="F141" s="35"/>
      <c r="G141" s="34" t="str">
        <f>IMPRODUCT(H104,H119)</f>
        <v>0</v>
      </c>
      <c r="I141" s="27"/>
      <c r="J141" s="27"/>
      <c r="K141" s="27"/>
      <c r="L141" s="27"/>
      <c r="M141" s="27"/>
      <c r="N141" s="27"/>
      <c r="O141" s="122"/>
      <c r="P141" s="142" t="str">
        <f>IMPRODUCT(D104,D119)</f>
        <v>7401418,8105</v>
      </c>
      <c r="Q141" s="143"/>
    </row>
    <row r="142" spans="5:21" s="3" customFormat="1" ht="25.8" hidden="1" x14ac:dyDescent="0.5">
      <c r="E142" s="33"/>
      <c r="F142" s="36"/>
      <c r="G142" s="34" t="str">
        <f>IMPRODUCT(H70,H120)</f>
        <v>0</v>
      </c>
      <c r="I142" s="27"/>
      <c r="J142" s="27"/>
      <c r="K142" s="27"/>
      <c r="L142" s="27"/>
      <c r="M142" s="27"/>
      <c r="N142" s="27"/>
      <c r="O142" s="122"/>
      <c r="P142" s="142" t="str">
        <f>IMPRODUCT(D70,D120)</f>
        <v>-229556,2555</v>
      </c>
      <c r="Q142" s="143"/>
    </row>
    <row r="143" spans="5:21" s="3" customFormat="1" ht="25.8" hidden="1" x14ac:dyDescent="0.5">
      <c r="E143" s="33"/>
      <c r="F143" s="36"/>
      <c r="G143" s="34" t="str">
        <f>IMSUM(G140:G142)</f>
        <v>0</v>
      </c>
      <c r="I143" s="27"/>
      <c r="J143" s="27"/>
      <c r="K143" s="27"/>
      <c r="L143" s="27"/>
      <c r="M143" s="27"/>
      <c r="N143" s="27"/>
      <c r="O143" s="122"/>
      <c r="P143" s="142" t="str">
        <f>IMSUM(P140:P142)</f>
        <v>10746769,555</v>
      </c>
      <c r="Q143" s="143"/>
    </row>
    <row r="144" spans="5:21" s="3" customFormat="1" ht="25.8" hidden="1" x14ac:dyDescent="0.5">
      <c r="E144" s="33"/>
      <c r="F144" s="36"/>
      <c r="G144" s="34" t="e">
        <f>IMDIV(G143,H98)</f>
        <v>#NUM!</v>
      </c>
      <c r="I144" s="27"/>
      <c r="J144" s="27"/>
      <c r="K144" s="27"/>
      <c r="L144" s="27"/>
      <c r="M144" s="27"/>
      <c r="N144" s="27"/>
      <c r="O144" s="122"/>
      <c r="P144" s="142" t="str">
        <f>IMDIV(P143,D98)</f>
        <v>179,80915018661</v>
      </c>
      <c r="Q144" s="143"/>
    </row>
    <row r="145" spans="5:21" s="3" customFormat="1" ht="25.8" x14ac:dyDescent="0.5">
      <c r="E145" s="33">
        <f>F145*(180/3.1425)</f>
        <v>0</v>
      </c>
      <c r="F145" s="35">
        <f>IMARGUMENT(P144)</f>
        <v>0</v>
      </c>
      <c r="G145" s="34">
        <f t="shared" ref="G145:G163" si="2">ABS(P145)</f>
        <v>179.80915018661</v>
      </c>
      <c r="I145" s="27"/>
      <c r="J145" s="27"/>
      <c r="K145" s="27"/>
      <c r="L145" s="27"/>
      <c r="M145" s="27"/>
      <c r="N145" s="27"/>
      <c r="O145" s="122" t="s">
        <v>91</v>
      </c>
      <c r="P145" s="144">
        <f>IMABS(P144)*COS(F145)</f>
        <v>179.80915018661</v>
      </c>
      <c r="Q145" s="134"/>
      <c r="U145" s="83">
        <f>ROUND(P145,S30)</f>
        <v>179.81</v>
      </c>
    </row>
    <row r="146" spans="5:21" s="3" customFormat="1" ht="25.8" hidden="1" x14ac:dyDescent="0.5">
      <c r="E146" s="33"/>
      <c r="F146" s="37"/>
      <c r="G146" s="34">
        <f t="shared" si="2"/>
        <v>2800000</v>
      </c>
      <c r="I146" s="27"/>
      <c r="J146" s="27"/>
      <c r="K146" s="27"/>
      <c r="L146" s="27"/>
      <c r="M146" s="27"/>
      <c r="N146" s="27"/>
      <c r="O146" s="123"/>
      <c r="P146" s="142" t="str">
        <f>IMPRODUCT(D73,D118)</f>
        <v>2800000</v>
      </c>
      <c r="Q146" s="143"/>
      <c r="U146" s="83">
        <f t="shared" ref="U146:U162" si="3">ROUND(P146,2)</f>
        <v>2800000</v>
      </c>
    </row>
    <row r="147" spans="5:21" s="3" customFormat="1" ht="25.8" hidden="1" x14ac:dyDescent="0.5">
      <c r="E147" s="33"/>
      <c r="F147" s="37"/>
      <c r="G147" s="34">
        <f t="shared" si="2"/>
        <v>7076300</v>
      </c>
      <c r="I147" s="27"/>
      <c r="J147" s="27"/>
      <c r="K147" s="27"/>
      <c r="L147" s="27"/>
      <c r="M147" s="27"/>
      <c r="N147" s="27"/>
      <c r="O147" s="123"/>
      <c r="P147" s="142" t="str">
        <f>IMPRODUCT(D105,D119)</f>
        <v>-7076300</v>
      </c>
      <c r="Q147" s="143"/>
      <c r="U147" s="83">
        <f t="shared" si="3"/>
        <v>-7076300</v>
      </c>
    </row>
    <row r="148" spans="5:21" s="3" customFormat="1" ht="25.8" hidden="1" x14ac:dyDescent="0.5">
      <c r="E148" s="33"/>
      <c r="F148" s="37"/>
      <c r="G148" s="34">
        <f t="shared" si="2"/>
        <v>764950</v>
      </c>
      <c r="I148" s="27"/>
      <c r="J148" s="27"/>
      <c r="K148" s="27"/>
      <c r="L148" s="27"/>
      <c r="M148" s="27"/>
      <c r="N148" s="27"/>
      <c r="O148" s="123"/>
      <c r="P148" s="142" t="str">
        <f>IMPRODUCT(D108,D120)</f>
        <v>-764950</v>
      </c>
      <c r="Q148" s="143"/>
      <c r="U148" s="83">
        <f t="shared" si="3"/>
        <v>-764950</v>
      </c>
    </row>
    <row r="149" spans="5:21" s="3" customFormat="1" ht="25.8" hidden="1" x14ac:dyDescent="0.5">
      <c r="E149" s="33"/>
      <c r="F149" s="38"/>
      <c r="G149" s="34">
        <f t="shared" si="2"/>
        <v>5041250</v>
      </c>
      <c r="I149" s="27"/>
      <c r="J149" s="27"/>
      <c r="K149" s="27"/>
      <c r="L149" s="27"/>
      <c r="M149" s="27"/>
      <c r="N149" s="27"/>
      <c r="O149" s="123"/>
      <c r="P149" s="142" t="str">
        <f>IMSUM(P146:P148)</f>
        <v>-5041250</v>
      </c>
      <c r="Q149" s="143"/>
      <c r="U149" s="83">
        <f t="shared" si="3"/>
        <v>-5041250</v>
      </c>
    </row>
    <row r="150" spans="5:21" s="3" customFormat="1" ht="25.8" hidden="1" x14ac:dyDescent="0.5">
      <c r="E150" s="33"/>
      <c r="F150" s="37"/>
      <c r="G150" s="34">
        <f t="shared" si="2"/>
        <v>84.347475186765195</v>
      </c>
      <c r="I150" s="27"/>
      <c r="J150" s="27"/>
      <c r="K150" s="27"/>
      <c r="L150" s="27"/>
      <c r="M150" s="27"/>
      <c r="N150" s="27"/>
      <c r="O150" s="123"/>
      <c r="P150" s="142" t="str">
        <f>IMDIV(P149,D98)</f>
        <v>-84,3474751867652</v>
      </c>
      <c r="Q150" s="143"/>
      <c r="U150" s="83">
        <f t="shared" si="3"/>
        <v>-84.35</v>
      </c>
    </row>
    <row r="151" spans="5:21" s="3" customFormat="1" ht="25.8" x14ac:dyDescent="0.5">
      <c r="E151" s="33">
        <f>F151*(180/3.1425)</f>
        <v>179.9480278905848</v>
      </c>
      <c r="F151" s="35">
        <f>IMARGUMENT(P150)</f>
        <v>3.1415926535897931</v>
      </c>
      <c r="G151" s="34">
        <f t="shared" si="2"/>
        <v>84.347475186765195</v>
      </c>
      <c r="I151" s="27"/>
      <c r="J151" s="27"/>
      <c r="K151" s="27"/>
      <c r="L151" s="27"/>
      <c r="M151" s="27"/>
      <c r="N151" s="27"/>
      <c r="O151" s="122" t="s">
        <v>92</v>
      </c>
      <c r="P151" s="144">
        <f>IMABS(P150)*COS(F151)</f>
        <v>-84.347475186765195</v>
      </c>
      <c r="Q151" s="134"/>
      <c r="U151" s="83">
        <f>ROUND(P151,S30)</f>
        <v>-84.35</v>
      </c>
    </row>
    <row r="152" spans="5:21" s="3" customFormat="1" ht="25.8" hidden="1" x14ac:dyDescent="0.5">
      <c r="E152" s="33"/>
      <c r="F152" s="37"/>
      <c r="G152" s="34">
        <f t="shared" si="2"/>
        <v>1449938</v>
      </c>
      <c r="I152" s="27"/>
      <c r="J152" s="27"/>
      <c r="K152" s="27"/>
      <c r="L152" s="27"/>
      <c r="M152" s="27"/>
      <c r="N152" s="27"/>
      <c r="O152" s="123"/>
      <c r="P152" s="142" t="str">
        <f>IMPRODUCT(D71,D118)</f>
        <v>1449938</v>
      </c>
      <c r="Q152" s="143"/>
      <c r="U152" s="83">
        <f t="shared" si="3"/>
        <v>1449938</v>
      </c>
    </row>
    <row r="153" spans="5:21" s="2" customFormat="1" ht="25.8" hidden="1" x14ac:dyDescent="0.5">
      <c r="E153" s="33"/>
      <c r="F153" s="37"/>
      <c r="G153" s="34">
        <f t="shared" si="2"/>
        <v>3664355.8105000001</v>
      </c>
      <c r="I153" s="9"/>
      <c r="J153" s="9"/>
      <c r="K153" s="9"/>
      <c r="L153" s="9"/>
      <c r="M153" s="9"/>
      <c r="N153" s="9"/>
      <c r="O153" s="123"/>
      <c r="P153" s="142" t="str">
        <f>IMPRODUCT(D106,D119)</f>
        <v>-3664355,8105</v>
      </c>
      <c r="Q153" s="145"/>
      <c r="U153" s="83">
        <f t="shared" si="3"/>
        <v>-3664355.81</v>
      </c>
    </row>
    <row r="154" spans="5:21" s="2" customFormat="1" ht="25.8" hidden="1" x14ac:dyDescent="0.5">
      <c r="E154" s="33"/>
      <c r="F154" s="38"/>
      <c r="G154" s="34">
        <f t="shared" si="2"/>
        <v>1098073.2555</v>
      </c>
      <c r="I154" s="9"/>
      <c r="J154" s="9"/>
      <c r="K154" s="9"/>
      <c r="L154" s="9"/>
      <c r="M154" s="9"/>
      <c r="N154" s="9"/>
      <c r="O154" s="123"/>
      <c r="P154" s="142" t="str">
        <f>IMPRODUCT(D109,D120)</f>
        <v>1098073,2555</v>
      </c>
      <c r="Q154" s="145"/>
      <c r="U154" s="83">
        <f t="shared" si="3"/>
        <v>1098073.26</v>
      </c>
    </row>
    <row r="155" spans="5:21" s="2" customFormat="1" ht="25.8" hidden="1" x14ac:dyDescent="0.5">
      <c r="E155" s="33"/>
      <c r="F155" s="37"/>
      <c r="G155" s="34">
        <f t="shared" si="2"/>
        <v>1116344.5549999999</v>
      </c>
      <c r="I155" s="9"/>
      <c r="J155" s="9"/>
      <c r="K155" s="9"/>
      <c r="L155" s="9"/>
      <c r="M155" s="9"/>
      <c r="N155" s="9"/>
      <c r="O155" s="123"/>
      <c r="P155" s="142" t="str">
        <f>IMSUM(P152:P154)</f>
        <v>-1116344,555</v>
      </c>
      <c r="Q155" s="145"/>
      <c r="U155" s="83">
        <f t="shared" si="3"/>
        <v>-1116344.56</v>
      </c>
    </row>
    <row r="156" spans="5:21" s="2" customFormat="1" ht="25.8" hidden="1" x14ac:dyDescent="0.5">
      <c r="E156" s="33"/>
      <c r="F156" s="37"/>
      <c r="G156" s="34">
        <f t="shared" si="2"/>
        <v>18.678074813338501</v>
      </c>
      <c r="I156" s="9"/>
      <c r="J156" s="9"/>
      <c r="K156" s="9"/>
      <c r="L156" s="9"/>
      <c r="M156" s="9"/>
      <c r="N156" s="9"/>
      <c r="O156" s="123"/>
      <c r="P156" s="142" t="str">
        <f>IMDIV(P155,D98)</f>
        <v>-18,6780748133385</v>
      </c>
      <c r="Q156" s="145"/>
      <c r="U156" s="83">
        <f t="shared" si="3"/>
        <v>-18.68</v>
      </c>
    </row>
    <row r="157" spans="5:21" s="2" customFormat="1" ht="25.8" x14ac:dyDescent="0.5">
      <c r="E157" s="33">
        <f>F157*(180/3.1425)</f>
        <v>179.9480278905848</v>
      </c>
      <c r="F157" s="35">
        <f>IMARGUMENT(P156)</f>
        <v>3.1415926535897931</v>
      </c>
      <c r="G157" s="34">
        <f t="shared" si="2"/>
        <v>18.678074813338501</v>
      </c>
      <c r="I157" s="9"/>
      <c r="J157" s="9"/>
      <c r="K157" s="9"/>
      <c r="L157" s="9"/>
      <c r="M157" s="9"/>
      <c r="N157" s="9"/>
      <c r="O157" s="122" t="s">
        <v>93</v>
      </c>
      <c r="P157" s="144">
        <f>IMABS(P156)*COS(F157)</f>
        <v>-18.678074813338501</v>
      </c>
      <c r="Q157" s="134"/>
      <c r="U157" s="83">
        <f>ROUND(P157,S30)</f>
        <v>-18.68</v>
      </c>
    </row>
    <row r="158" spans="5:21" s="2" customFormat="1" ht="25.8" hidden="1" x14ac:dyDescent="0.5">
      <c r="E158" s="33"/>
      <c r="F158" s="37"/>
      <c r="G158" s="34">
        <f t="shared" si="2"/>
        <v>4249938</v>
      </c>
      <c r="I158" s="9"/>
      <c r="J158" s="9"/>
      <c r="K158" s="9"/>
      <c r="L158" s="9"/>
      <c r="M158" s="9"/>
      <c r="N158" s="9"/>
      <c r="O158" s="123"/>
      <c r="P158" s="142" t="str">
        <f>IMPRODUCT(D102,D118)</f>
        <v>-4249938</v>
      </c>
      <c r="Q158" s="145"/>
      <c r="U158" s="83">
        <f t="shared" si="3"/>
        <v>-4249938</v>
      </c>
    </row>
    <row r="159" spans="5:21" s="2" customFormat="1" ht="25.8" hidden="1" x14ac:dyDescent="0.5">
      <c r="E159" s="33"/>
      <c r="F159" s="38"/>
      <c r="G159" s="34">
        <f t="shared" si="2"/>
        <v>10740655.8105</v>
      </c>
      <c r="I159" s="9"/>
      <c r="J159" s="9"/>
      <c r="K159" s="9"/>
      <c r="L159" s="9"/>
      <c r="M159" s="9"/>
      <c r="N159" s="9"/>
      <c r="O159" s="123"/>
      <c r="P159" s="142" t="str">
        <f>IMPRODUCT(D107,D119)</f>
        <v>10740655,8105</v>
      </c>
      <c r="Q159" s="145"/>
      <c r="U159" s="83">
        <f t="shared" si="3"/>
        <v>10740655.810000001</v>
      </c>
    </row>
    <row r="160" spans="5:21" s="2" customFormat="1" ht="25.8" hidden="1" x14ac:dyDescent="0.5">
      <c r="E160" s="33"/>
      <c r="F160" s="39"/>
      <c r="G160" s="34">
        <f t="shared" si="2"/>
        <v>333123.25550000003</v>
      </c>
      <c r="I160" s="9"/>
      <c r="J160" s="9"/>
      <c r="K160" s="9"/>
      <c r="L160" s="9"/>
      <c r="M160" s="9"/>
      <c r="N160" s="9"/>
      <c r="O160" s="123"/>
      <c r="P160" s="142" t="str">
        <f>IMPRODUCT(D110,D120)</f>
        <v>-333123,2555</v>
      </c>
      <c r="Q160" s="145"/>
      <c r="U160" s="83">
        <f t="shared" si="3"/>
        <v>-333123.26</v>
      </c>
    </row>
    <row r="161" spans="1:22" s="2" customFormat="1" ht="25.8" hidden="1" x14ac:dyDescent="0.5">
      <c r="E161" s="33"/>
      <c r="F161" s="39"/>
      <c r="G161" s="34">
        <f t="shared" si="2"/>
        <v>6157594.5549999997</v>
      </c>
      <c r="I161" s="9"/>
      <c r="J161" s="9"/>
      <c r="K161" s="9"/>
      <c r="L161" s="9"/>
      <c r="M161" s="9"/>
      <c r="N161" s="9"/>
      <c r="O161" s="123"/>
      <c r="P161" s="142" t="str">
        <f>IMSUM(P158:P160)</f>
        <v>6157594,555</v>
      </c>
      <c r="Q161" s="145"/>
      <c r="U161" s="83">
        <f t="shared" si="3"/>
        <v>6157594.5599999996</v>
      </c>
    </row>
    <row r="162" spans="1:22" s="2" customFormat="1" ht="25.8" hidden="1" x14ac:dyDescent="0.5">
      <c r="E162" s="33"/>
      <c r="F162" s="39"/>
      <c r="G162" s="34">
        <f t="shared" si="2"/>
        <v>103.025550000104</v>
      </c>
      <c r="I162" s="9"/>
      <c r="J162" s="9"/>
      <c r="K162" s="9"/>
      <c r="L162" s="9"/>
      <c r="M162" s="9"/>
      <c r="N162" s="9"/>
      <c r="O162" s="123"/>
      <c r="P162" s="142" t="str">
        <f>IMDIV(P161,D98)</f>
        <v>103,025550000104</v>
      </c>
      <c r="Q162" s="145"/>
      <c r="U162" s="83">
        <f t="shared" si="3"/>
        <v>103.03</v>
      </c>
    </row>
    <row r="163" spans="1:22" s="2" customFormat="1" ht="25.8" x14ac:dyDescent="0.5">
      <c r="E163" s="33">
        <f>F163*(180/3.1425)</f>
        <v>0</v>
      </c>
      <c r="F163" s="35">
        <f>IMARGUMENT(P162)</f>
        <v>0</v>
      </c>
      <c r="G163" s="34">
        <f t="shared" si="2"/>
        <v>103.025550000104</v>
      </c>
      <c r="I163" s="9"/>
      <c r="J163" s="9"/>
      <c r="K163" s="9"/>
      <c r="L163" s="9"/>
      <c r="M163" s="9"/>
      <c r="N163" s="9"/>
      <c r="O163" s="124" t="s">
        <v>94</v>
      </c>
      <c r="P163" s="146">
        <f>IMABS(P162)*COS(F163)</f>
        <v>103.025550000104</v>
      </c>
      <c r="Q163" s="136"/>
      <c r="U163" s="83">
        <f>ROUND(P163,S30)</f>
        <v>103.03</v>
      </c>
    </row>
    <row r="164" spans="1:22" s="2" customFormat="1" ht="25.8" hidden="1" x14ac:dyDescent="0.5">
      <c r="A164" s="2" t="s">
        <v>101</v>
      </c>
      <c r="B164" s="2" t="s">
        <v>102</v>
      </c>
      <c r="C164" s="2" t="s">
        <v>110</v>
      </c>
      <c r="D164" s="2" t="s">
        <v>103</v>
      </c>
      <c r="E164" s="33"/>
      <c r="F164" s="35"/>
      <c r="G164" s="34"/>
      <c r="I164" s="9"/>
      <c r="J164" s="9"/>
      <c r="K164" s="9"/>
      <c r="L164" s="9"/>
      <c r="M164" s="9"/>
      <c r="N164" s="9"/>
      <c r="O164" s="79"/>
      <c r="P164" s="80"/>
    </row>
    <row r="165" spans="1:22" s="2" customFormat="1" ht="25.8" hidden="1" x14ac:dyDescent="0.5">
      <c r="A165" s="2" t="s">
        <v>104</v>
      </c>
      <c r="C165" s="29"/>
      <c r="D165" s="34"/>
      <c r="E165" s="33"/>
      <c r="F165" s="35"/>
      <c r="G165" s="9"/>
      <c r="H165" s="9"/>
      <c r="I165" s="9"/>
      <c r="J165" s="9"/>
      <c r="K165" s="9"/>
      <c r="L165" s="9"/>
      <c r="M165" s="9"/>
      <c r="N165" s="9"/>
    </row>
    <row r="166" spans="1:22" s="2" customFormat="1" ht="25.8" x14ac:dyDescent="0.5">
      <c r="C166" s="29"/>
      <c r="D166" s="34"/>
      <c r="E166" s="33"/>
      <c r="F166" s="35"/>
      <c r="G166" s="9"/>
      <c r="H166" s="9"/>
      <c r="I166" s="9"/>
      <c r="J166" s="9"/>
      <c r="K166" s="9"/>
      <c r="L166" s="9"/>
      <c r="M166" s="9"/>
      <c r="N166" s="9"/>
    </row>
    <row r="167" spans="1:22" s="2" customFormat="1" x14ac:dyDescent="0.3">
      <c r="B167" s="91" t="s">
        <v>112</v>
      </c>
      <c r="C167" s="91"/>
      <c r="D167" s="92"/>
      <c r="E167" s="92"/>
      <c r="F167" s="93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</row>
    <row r="168" spans="1:22" s="2" customFormat="1" ht="25.8" hidden="1" x14ac:dyDescent="0.5">
      <c r="B168" s="29"/>
      <c r="C168" s="29"/>
      <c r="E168" s="35"/>
      <c r="F168" s="36"/>
      <c r="G168" s="9"/>
      <c r="H168" s="9"/>
      <c r="I168" s="9"/>
      <c r="J168" s="9"/>
      <c r="K168" s="9"/>
      <c r="L168" s="9"/>
      <c r="M168" s="9"/>
      <c r="N168" s="9"/>
      <c r="O168" s="7"/>
    </row>
    <row r="169" spans="1:22" s="2" customFormat="1" ht="25.8" hidden="1" x14ac:dyDescent="0.5">
      <c r="B169" s="29"/>
      <c r="C169" s="29"/>
      <c r="E169" s="41"/>
      <c r="F169" s="9"/>
      <c r="G169" s="9"/>
      <c r="H169" s="9"/>
      <c r="I169" s="9"/>
      <c r="J169" s="9"/>
      <c r="K169" s="9"/>
      <c r="L169" s="9"/>
      <c r="M169" s="9"/>
      <c r="N169" s="9"/>
    </row>
    <row r="170" spans="1:22" s="2" customFormat="1" ht="25.8" hidden="1" x14ac:dyDescent="0.5">
      <c r="B170" s="29"/>
      <c r="C170" s="29"/>
      <c r="E170" s="41"/>
      <c r="F170" s="9"/>
      <c r="G170" s="9"/>
      <c r="H170" s="9"/>
      <c r="I170" s="9"/>
      <c r="J170" s="9"/>
      <c r="K170" s="9"/>
      <c r="L170" s="9"/>
      <c r="M170" s="9"/>
      <c r="N170" s="9"/>
    </row>
    <row r="171" spans="1:22" s="2" customFormat="1" ht="25.8" hidden="1" x14ac:dyDescent="0.5">
      <c r="B171" s="29"/>
      <c r="C171" s="29"/>
      <c r="E171" s="41"/>
      <c r="F171" s="9"/>
      <c r="G171" s="9"/>
      <c r="H171" s="9"/>
      <c r="I171" s="9"/>
      <c r="J171" s="9"/>
      <c r="K171" s="9"/>
      <c r="L171" s="9"/>
      <c r="M171" s="9"/>
      <c r="N171" s="9"/>
    </row>
    <row r="172" spans="1:22" s="2" customFormat="1" ht="25.8" hidden="1" x14ac:dyDescent="0.5">
      <c r="B172" s="29"/>
      <c r="C172" s="29"/>
      <c r="E172" s="41"/>
      <c r="F172" s="9"/>
      <c r="G172" s="9"/>
      <c r="H172" s="9"/>
      <c r="I172" s="9"/>
      <c r="J172" s="9"/>
      <c r="K172" s="9"/>
      <c r="L172" s="9"/>
      <c r="M172" s="9"/>
      <c r="N172" s="9"/>
    </row>
    <row r="173" spans="1:22" s="2" customFormat="1" ht="25.8" hidden="1" x14ac:dyDescent="0.5">
      <c r="B173" s="29"/>
      <c r="C173" s="29"/>
      <c r="E173" s="41"/>
      <c r="F173" s="9"/>
      <c r="G173" s="9"/>
      <c r="H173" s="9"/>
      <c r="I173" s="9"/>
      <c r="J173" s="9"/>
      <c r="K173" s="9"/>
      <c r="L173" s="9"/>
      <c r="M173" s="9"/>
      <c r="N173" s="9"/>
    </row>
    <row r="174" spans="1:22" s="2" customFormat="1" ht="25.8" hidden="1" x14ac:dyDescent="0.5">
      <c r="B174" s="29"/>
      <c r="C174" s="29"/>
      <c r="E174" s="41"/>
      <c r="F174" s="9"/>
      <c r="G174" s="9"/>
      <c r="H174" s="9"/>
      <c r="I174" s="9"/>
      <c r="J174" s="9"/>
      <c r="K174" s="9"/>
      <c r="L174" s="9"/>
      <c r="M174" s="9"/>
      <c r="N174" s="9"/>
    </row>
    <row r="175" spans="1:22" s="2" customFormat="1" ht="25.8" hidden="1" x14ac:dyDescent="0.5">
      <c r="B175" s="29"/>
      <c r="C175" s="29"/>
      <c r="E175" s="41"/>
      <c r="F175" s="9"/>
      <c r="G175" s="9"/>
      <c r="H175" s="9"/>
      <c r="I175" s="9"/>
      <c r="J175" s="9"/>
      <c r="K175" s="9"/>
      <c r="L175" s="9"/>
      <c r="M175" s="9"/>
      <c r="N175" s="9"/>
    </row>
    <row r="176" spans="1:22" s="2" customFormat="1" ht="25.8" hidden="1" x14ac:dyDescent="0.5">
      <c r="B176" s="29"/>
      <c r="C176" s="29"/>
      <c r="E176" s="41"/>
      <c r="F176" s="9"/>
      <c r="G176" s="9"/>
      <c r="H176" s="9"/>
      <c r="I176" s="9"/>
      <c r="J176" s="9"/>
      <c r="K176" s="9"/>
      <c r="L176" s="9"/>
      <c r="M176" s="9"/>
      <c r="N176" s="9"/>
    </row>
    <row r="177" spans="1:36" s="2" customFormat="1" ht="25.8" hidden="1" x14ac:dyDescent="0.5">
      <c r="B177" s="29"/>
      <c r="C177" s="29"/>
      <c r="E177" s="41"/>
      <c r="F177" s="9"/>
      <c r="G177" s="9"/>
      <c r="H177" s="9"/>
      <c r="I177" s="9"/>
      <c r="J177" s="9"/>
      <c r="K177" s="9"/>
      <c r="L177" s="9"/>
      <c r="M177" s="9"/>
      <c r="N177" s="9"/>
    </row>
    <row r="178" spans="1:36" s="2" customFormat="1" ht="25.8" hidden="1" x14ac:dyDescent="0.5">
      <c r="B178" s="29"/>
      <c r="C178" s="29"/>
      <c r="D178" s="40"/>
      <c r="E178" s="41"/>
      <c r="F178" s="9"/>
      <c r="G178" s="9"/>
      <c r="H178" s="9"/>
      <c r="I178" s="9"/>
      <c r="J178" s="9"/>
      <c r="K178" s="9"/>
      <c r="L178" s="9"/>
      <c r="M178" s="9"/>
      <c r="N178" s="9"/>
    </row>
    <row r="179" spans="1:36" s="2" customFormat="1" ht="25.8" hidden="1" x14ac:dyDescent="0.5">
      <c r="E179" s="42" t="s">
        <v>13</v>
      </c>
      <c r="F179" s="9"/>
      <c r="G179" s="9"/>
      <c r="H179" s="9"/>
      <c r="I179" s="9"/>
      <c r="J179" s="9"/>
      <c r="K179" s="9"/>
      <c r="L179" s="9"/>
      <c r="M179" s="9"/>
      <c r="N179" s="9"/>
    </row>
    <row r="180" spans="1:36" s="2" customFormat="1" ht="25.8" hidden="1" x14ac:dyDescent="0.5">
      <c r="B180" s="29"/>
      <c r="C180" s="2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1:36" s="2" customFormat="1" ht="25.8" x14ac:dyDescent="0.5">
      <c r="B181" s="29"/>
      <c r="C181" s="2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36" s="2" customFormat="1" ht="19.2" customHeight="1" x14ac:dyDescent="0.5">
      <c r="B182" s="77" t="s">
        <v>113</v>
      </c>
      <c r="C182" s="77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36" ht="13.8" customHeight="1" x14ac:dyDescent="0.5">
      <c r="A183" s="2"/>
      <c r="B183" s="77" t="s">
        <v>70</v>
      </c>
      <c r="C183" s="77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6.8" customHeight="1" x14ac:dyDescent="0.5">
      <c r="A184" s="2"/>
      <c r="B184" s="86" t="s">
        <v>105</v>
      </c>
      <c r="C184" s="86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x14ac:dyDescent="0.3">
      <c r="A185" s="2"/>
      <c r="B185" s="94" t="s">
        <v>115</v>
      </c>
      <c r="C185" s="87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x14ac:dyDescent="0.3">
      <c r="A186" s="2"/>
      <c r="B186" s="87"/>
      <c r="C186" s="87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x14ac:dyDescent="0.3">
      <c r="A187" s="2"/>
      <c r="B187" s="88" t="s">
        <v>100</v>
      </c>
      <c r="C187" s="87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3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3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3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3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</sheetData>
  <sheetProtection algorithmName="SHA-512" hashValue="8nG6xeHkW2bQdPLpNJo7fkD9pVhnGjAODMmmFkHfZ3wMy+/MLXqQ90FWqqJfsZakMfufbWk31Ur6YwkAmpIWMA==" saltValue="CEinWFJYUYp0smZCOK65Ng==" spinCount="100000" sheet="1" objects="1" scenarios="1"/>
  <customSheetViews>
    <customSheetView guid="{2167E7E4-0462-4EF0-8CAB-C0251CE19681}" showPageBreaks="1" hiddenRows="1" hiddenColumns="1" view="pageLayout">
      <selection activeCell="P2" sqref="P2"/>
      <pageMargins left="0.7" right="0.7" top="0.75" bottom="0.75" header="0.3" footer="0.3"/>
      <pageSetup paperSize="9" scale="50" orientation="portrait" r:id="rId1"/>
      <headerFooter>
        <oddHeader>&amp;C&amp;48Electrical AC/DC circuit calculator</oddHeader>
      </headerFooter>
    </customSheetView>
  </customSheetViews>
  <mergeCells count="18">
    <mergeCell ref="P151:Q151"/>
    <mergeCell ref="P157:Q157"/>
    <mergeCell ref="P163:Q163"/>
    <mergeCell ref="P127:Q127"/>
    <mergeCell ref="P130:Q130"/>
    <mergeCell ref="P131:Q131"/>
    <mergeCell ref="P139:Q139"/>
    <mergeCell ref="P145:Q145"/>
    <mergeCell ref="P35:Q35"/>
    <mergeCell ref="P123:Q123"/>
    <mergeCell ref="P124:Q124"/>
    <mergeCell ref="P125:Q125"/>
    <mergeCell ref="P126:Q126"/>
    <mergeCell ref="Q27:S28"/>
    <mergeCell ref="P31:Q31"/>
    <mergeCell ref="P32:Q32"/>
    <mergeCell ref="P33:Q33"/>
    <mergeCell ref="P34:Q34"/>
  </mergeCells>
  <pageMargins left="0.7" right="0.7" top="0.75" bottom="0.75" header="0.3" footer="0.3"/>
  <pageSetup paperSize="9" scale="39" orientation="portrait" r:id="rId2"/>
  <headerFooter scaleWithDoc="0"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1A8C218745A4CB1951571369713C3" ma:contentTypeVersion="13" ma:contentTypeDescription="Een nieuw document maken." ma:contentTypeScope="" ma:versionID="5c98413215442ac7dbc82eadf5494b2d">
  <xsd:schema xmlns:xsd="http://www.w3.org/2001/XMLSchema" xmlns:xs="http://www.w3.org/2001/XMLSchema" xmlns:p="http://schemas.microsoft.com/office/2006/metadata/properties" xmlns:ns3="acc84996-6fef-4fe6-9a34-0e7e060abb38" xmlns:ns4="af9c4c8b-dba3-4400-be87-27e9b0227737" targetNamespace="http://schemas.microsoft.com/office/2006/metadata/properties" ma:root="true" ma:fieldsID="65c12a20edd32aa681548064ada0ed46" ns3:_="" ns4:_="">
    <xsd:import namespace="acc84996-6fef-4fe6-9a34-0e7e060abb38"/>
    <xsd:import namespace="af9c4c8b-dba3-4400-be87-27e9b02277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84996-6fef-4fe6-9a34-0e7e060ab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c4c8b-dba3-4400-be87-27e9b0227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04F8ED-41FD-4042-AD39-06BFD19818FF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cc84996-6fef-4fe6-9a34-0e7e060abb38"/>
    <ds:schemaRef ds:uri="af9c4c8b-dba3-4400-be87-27e9b0227737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223949E-610E-4935-BD97-0360218754D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cc84996-6fef-4fe6-9a34-0e7e060abb38"/>
    <ds:schemaRef ds:uri="af9c4c8b-dba3-4400-be87-27e9b022773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1CF7EA-919C-4BF6-A7D7-AB485848A0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Blad2</vt:lpstr>
      <vt:lpstr>Blad1</vt:lpstr>
      <vt:lpstr>A</vt:lpstr>
      <vt:lpstr>Blad1!Afdrukbereik</vt:lpstr>
      <vt:lpstr>B</vt:lpstr>
      <vt:lpstr>Matrix</vt:lpstr>
    </vt:vector>
  </TitlesOfParts>
  <Company>Hogeschool van Arnhem en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2021-01-12T09:41:21Z</dcterms:created>
  <dcterms:modified xsi:type="dcterms:W3CDTF">2021-04-13T18:39:14Z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0x0101003E21A8C218745A4CB1951571369713C3</vt:lpwstr>
  </property>
</Properties>
</file>